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Yoav Bruker\Globisens team Dropbox\Marketing\PRICELIST\"/>
    </mc:Choice>
  </mc:AlternateContent>
  <xr:revisionPtr revIDLastSave="0" documentId="13_ncr:1_{26864567-FCA4-4098-A505-6CB8FF6ACA37}" xr6:coauthVersionLast="47" xr6:coauthVersionMax="47" xr10:uidLastSave="{00000000-0000-0000-0000-000000000000}"/>
  <bookViews>
    <workbookView xWindow="22932" yWindow="1236" windowWidth="23256" windowHeight="12576" tabRatio="844" firstSheet="1" activeTab="2" xr2:uid="{00000000-000D-0000-FFFF-FFFF00000000}"/>
  </bookViews>
  <sheets>
    <sheet name="Revenues" sheetId="33" state="hidden" r:id="rId1"/>
    <sheet name="LabDisc features" sheetId="38" r:id="rId2"/>
    <sheet name="LabDisc Pricing" sheetId="36" r:id="rId3"/>
  </sheets>
  <externalReferences>
    <externalReference r:id="rId4"/>
  </externalReferences>
  <definedNames>
    <definedName name="_xlnm._FilterDatabase" localSheetId="1" hidden="1">'LabDisc features'!$A$3:$J$24</definedName>
    <definedName name="_xlnm._FilterDatabase" localSheetId="2" hidden="1">'LabDisc Pricing'!$A$3:$J$30</definedName>
    <definedName name="elim">'[1]WRKSHT-SHL-CONSOL'!$AD$1</definedName>
    <definedName name="WRKSHT" localSheetId="1">#REF!</definedName>
    <definedName name="WRKSH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9" i="36" l="1"/>
  <c r="L39" i="36"/>
  <c r="M39" i="36"/>
  <c r="J39" i="36"/>
  <c r="L37" i="36"/>
  <c r="M37" i="36"/>
  <c r="K37" i="36"/>
  <c r="K38" i="36"/>
  <c r="L38" i="36"/>
  <c r="M38" i="36"/>
  <c r="J38" i="36"/>
  <c r="J37" i="36"/>
  <c r="K36" i="36"/>
  <c r="L36" i="36"/>
  <c r="M36" i="36"/>
  <c r="K35" i="36"/>
  <c r="L35" i="36"/>
  <c r="M35" i="36"/>
  <c r="J36" i="36"/>
  <c r="J35" i="36"/>
  <c r="K34" i="36"/>
  <c r="L34" i="36"/>
  <c r="M34" i="36"/>
  <c r="J34" i="36"/>
  <c r="I23" i="36"/>
  <c r="I20" i="36"/>
  <c r="I19" i="36"/>
  <c r="I18" i="36"/>
  <c r="I17" i="36"/>
  <c r="I16" i="36"/>
  <c r="I14" i="36"/>
  <c r="I9" i="36"/>
  <c r="I10" i="36"/>
  <c r="I11" i="36"/>
  <c r="I13" i="36" s="1"/>
  <c r="I12" i="36"/>
  <c r="I26" i="36"/>
  <c r="I27" i="36"/>
  <c r="K41" i="36" l="1"/>
  <c r="J41" i="36"/>
  <c r="M41" i="36"/>
  <c r="L41" i="36"/>
  <c r="H5" i="36"/>
  <c r="J40" i="36" l="1"/>
  <c r="M40" i="36"/>
  <c r="K40" i="36"/>
  <c r="L40" i="36"/>
  <c r="M31" i="36"/>
  <c r="M11" i="38" s="1"/>
  <c r="L31" i="36"/>
  <c r="L11" i="38" s="1"/>
  <c r="J31" i="36" l="1"/>
  <c r="J11" i="38" s="1"/>
  <c r="K31" i="36"/>
  <c r="K11" i="38" s="1"/>
  <c r="J50" i="33" l="1"/>
  <c r="I50" i="33" s="1"/>
  <c r="D50" i="33"/>
  <c r="J51" i="33"/>
  <c r="D48" i="33"/>
  <c r="F48" i="33"/>
  <c r="D49" i="33"/>
  <c r="D51" i="33"/>
  <c r="D47" i="33"/>
  <c r="F7" i="33"/>
  <c r="F11" i="33" s="1"/>
  <c r="H7" i="33"/>
  <c r="H11" i="33" s="1"/>
  <c r="J7" i="33"/>
  <c r="J11" i="33" s="1"/>
  <c r="L7" i="33"/>
  <c r="L11" i="33" s="1"/>
  <c r="F8" i="33"/>
  <c r="E8" i="33" s="1"/>
  <c r="H8" i="33"/>
  <c r="G8" i="33" s="1"/>
  <c r="J8" i="33"/>
  <c r="I8" i="33" s="1"/>
  <c r="L8" i="33"/>
  <c r="K8" i="33" s="1"/>
  <c r="L26" i="33" s="1"/>
  <c r="F49" i="33"/>
  <c r="E49" i="33" s="1"/>
  <c r="F50" i="33"/>
  <c r="E50" i="33" s="1"/>
  <c r="F51" i="33"/>
  <c r="F52" i="33"/>
  <c r="E52" i="33" s="1"/>
  <c r="H47" i="33"/>
  <c r="H48" i="33"/>
  <c r="H49" i="33"/>
  <c r="G49" i="33" s="1"/>
  <c r="H50" i="33"/>
  <c r="G50" i="33" s="1"/>
  <c r="H52" i="33"/>
  <c r="G52" i="33" s="1"/>
  <c r="J47" i="33"/>
  <c r="J53" i="33" s="1"/>
  <c r="J48" i="33"/>
  <c r="I48" i="33" s="1"/>
  <c r="L47" i="33"/>
  <c r="L53" i="33" s="1"/>
  <c r="L48" i="33"/>
  <c r="F14" i="33"/>
  <c r="E14" i="33" s="1"/>
  <c r="F13" i="33"/>
  <c r="E13" i="33" s="1"/>
  <c r="E17" i="33" s="1"/>
  <c r="H13" i="33"/>
  <c r="G13" i="33" s="1"/>
  <c r="G17" i="33" s="1"/>
  <c r="J13" i="33"/>
  <c r="I13" i="33" s="1"/>
  <c r="I17" i="33" s="1"/>
  <c r="L13" i="33"/>
  <c r="K13" i="33" s="1"/>
  <c r="K17" i="33" s="1"/>
  <c r="H14" i="33"/>
  <c r="G14" i="33" s="1"/>
  <c r="J14" i="33"/>
  <c r="I14" i="33" s="1"/>
  <c r="L14" i="33"/>
  <c r="K14" i="33" s="1"/>
  <c r="H59" i="33"/>
  <c r="I59" i="33"/>
  <c r="F34" i="33"/>
  <c r="H34" i="33"/>
  <c r="H31" i="33"/>
  <c r="H35" i="33" s="1"/>
  <c r="J34" i="33"/>
  <c r="L34" i="33"/>
  <c r="N33" i="33"/>
  <c r="N32" i="33"/>
  <c r="F31" i="33"/>
  <c r="F35" i="33" s="1"/>
  <c r="J31" i="33"/>
  <c r="J35" i="33" s="1"/>
  <c r="L31" i="33"/>
  <c r="L35" i="33" s="1"/>
  <c r="J56" i="33"/>
  <c r="J58" i="33" s="1"/>
  <c r="J57" i="33" s="1"/>
  <c r="J9" i="33"/>
  <c r="I9" i="33" s="1"/>
  <c r="L9" i="33"/>
  <c r="K9" i="33" s="1"/>
  <c r="H10" i="33"/>
  <c r="G10" i="33" s="1"/>
  <c r="L51" i="33"/>
  <c r="K51" i="33" s="1"/>
  <c r="L49" i="33"/>
  <c r="K49" i="33" s="1"/>
  <c r="F47" i="33"/>
  <c r="F53" i="33" s="1"/>
  <c r="H51" i="33"/>
  <c r="H53" i="33"/>
  <c r="J49" i="33"/>
  <c r="I49" i="33" s="1"/>
  <c r="L50" i="33"/>
  <c r="K50" i="33" s="1"/>
  <c r="L52" i="33"/>
  <c r="K52" i="33" s="1"/>
  <c r="F16" i="33"/>
  <c r="E16" i="33" s="1"/>
  <c r="J10" i="33"/>
  <c r="I10" i="33" s="1"/>
  <c r="L10" i="33"/>
  <c r="K10" i="33" s="1"/>
  <c r="H16" i="33"/>
  <c r="G16" i="33" s="1"/>
  <c r="L16" i="33"/>
  <c r="K16" i="33" s="1"/>
  <c r="J15" i="33"/>
  <c r="I15" i="33" s="1"/>
  <c r="J52" i="33"/>
  <c r="F10" i="33"/>
  <c r="E10" i="33" s="1"/>
  <c r="H15" i="33"/>
  <c r="G15" i="33" s="1"/>
  <c r="L15" i="33"/>
  <c r="K15" i="33" s="1"/>
  <c r="J59" i="33"/>
  <c r="F9" i="33"/>
  <c r="E9" i="33" s="1"/>
  <c r="H9" i="33"/>
  <c r="J16" i="33"/>
  <c r="I16" i="33" s="1"/>
  <c r="F15" i="33"/>
  <c r="E15" i="33" s="1"/>
  <c r="E51" i="33" l="1"/>
  <c r="H39" i="33"/>
  <c r="N47" i="33"/>
  <c r="M47" i="33" s="1"/>
  <c r="M53" i="33" s="1"/>
  <c r="N10" i="33"/>
  <c r="M10" i="33" s="1"/>
  <c r="F17" i="33"/>
  <c r="E48" i="33"/>
  <c r="N52" i="33"/>
  <c r="M52" i="33" s="1"/>
  <c r="H26" i="33"/>
  <c r="H20" i="33"/>
  <c r="E47" i="33"/>
  <c r="E53" i="33" s="1"/>
  <c r="N7" i="33"/>
  <c r="N11" i="33" s="1"/>
  <c r="I52" i="33"/>
  <c r="G47" i="33"/>
  <c r="G53" i="33" s="1"/>
  <c r="F40" i="33"/>
  <c r="N51" i="33"/>
  <c r="M51" i="33" s="1"/>
  <c r="N48" i="33"/>
  <c r="M48" i="33" s="1"/>
  <c r="F26" i="33"/>
  <c r="F20" i="33"/>
  <c r="J20" i="33"/>
  <c r="J26" i="33"/>
  <c r="L20" i="33"/>
  <c r="L38" i="33" s="1"/>
  <c r="N15" i="33"/>
  <c r="H40" i="33"/>
  <c r="N50" i="33"/>
  <c r="M50" i="33" s="1"/>
  <c r="K48" i="33"/>
  <c r="G48" i="33"/>
  <c r="I51" i="33"/>
  <c r="J39" i="33"/>
  <c r="L40" i="33"/>
  <c r="L39" i="33"/>
  <c r="N8" i="33"/>
  <c r="M8" i="33" s="1"/>
  <c r="J17" i="33"/>
  <c r="M15" i="33"/>
  <c r="N16" i="33"/>
  <c r="M16" i="33" s="1"/>
  <c r="N34" i="33"/>
  <c r="N53" i="33"/>
  <c r="D53" i="33" s="1"/>
  <c r="D7" i="33" s="1"/>
  <c r="M7" i="33" s="1"/>
  <c r="M11" i="33" s="1"/>
  <c r="N31" i="33"/>
  <c r="N35" i="33" s="1"/>
  <c r="N9" i="33"/>
  <c r="F39" i="33"/>
  <c r="G9" i="33"/>
  <c r="M9" i="33" s="1"/>
  <c r="G51" i="33"/>
  <c r="L17" i="33"/>
  <c r="K47" i="33"/>
  <c r="K53" i="33" s="1"/>
  <c r="I47" i="33"/>
  <c r="I53" i="33" s="1"/>
  <c r="J40" i="33"/>
  <c r="H17" i="33"/>
  <c r="N13" i="33"/>
  <c r="N14" i="33"/>
  <c r="M14" i="33" s="1"/>
  <c r="N49" i="33"/>
  <c r="M49" i="33" s="1"/>
  <c r="N20" i="33" l="1"/>
  <c r="H38" i="33"/>
  <c r="N40" i="33"/>
  <c r="F38" i="33"/>
  <c r="J38" i="33"/>
  <c r="N26" i="33"/>
  <c r="N38" i="33" s="1"/>
  <c r="N39" i="33"/>
  <c r="F56" i="33"/>
  <c r="M13" i="33"/>
  <c r="M17" i="33" s="1"/>
  <c r="N17" i="33"/>
  <c r="G56" i="33" s="1"/>
  <c r="I7" i="33"/>
  <c r="E7" i="33"/>
  <c r="K7" i="33"/>
  <c r="G7" i="33"/>
  <c r="H25" i="33" l="1"/>
  <c r="H29" i="33" s="1"/>
  <c r="G11" i="33"/>
  <c r="H19" i="33"/>
  <c r="L19" i="33"/>
  <c r="L25" i="33"/>
  <c r="L29" i="33" s="1"/>
  <c r="K11" i="33"/>
  <c r="G58" i="33"/>
  <c r="G57" i="33" s="1"/>
  <c r="E11" i="33"/>
  <c r="F19" i="33"/>
  <c r="F25" i="33"/>
  <c r="J19" i="33"/>
  <c r="J25" i="33"/>
  <c r="J29" i="33" s="1"/>
  <c r="I11" i="33"/>
  <c r="F58" i="33"/>
  <c r="F57" i="33" s="1"/>
  <c r="E56" i="33"/>
  <c r="E58" i="33" l="1"/>
  <c r="K58" i="33" s="1"/>
  <c r="K56" i="33"/>
  <c r="J37" i="33"/>
  <c r="J41" i="33" s="1"/>
  <c r="J23" i="33"/>
  <c r="L23" i="33"/>
  <c r="L37" i="33"/>
  <c r="L41" i="33" s="1"/>
  <c r="F29" i="33"/>
  <c r="N25" i="33"/>
  <c r="N29" i="33" s="1"/>
  <c r="I56" i="33" s="1"/>
  <c r="H23" i="33"/>
  <c r="H37" i="33"/>
  <c r="H41" i="33" s="1"/>
  <c r="F23" i="33"/>
  <c r="F37" i="33"/>
  <c r="F41" i="33" s="1"/>
  <c r="N19" i="33"/>
  <c r="K59" i="33" l="1"/>
  <c r="I58" i="33"/>
  <c r="I57" i="33" s="1"/>
  <c r="N23" i="33"/>
  <c r="H56" i="33" s="1"/>
  <c r="N37" i="33"/>
  <c r="N41" i="33" s="1"/>
  <c r="E57" i="33"/>
  <c r="K57" i="33" s="1"/>
  <c r="H58" i="33" l="1"/>
  <c r="H57" i="3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D11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Temperature
Voltage</t>
        </r>
      </text>
    </comment>
    <comment ref="J11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Barometer, Colorimeter, External Temperature, GPS, IR Temperature, pH, Relative Humidity, Sound Level, Temperature, Turbidity, UV</t>
        </r>
      </text>
    </comment>
    <comment ref="K11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Air Pressure, Current, External Temperature, GPS, Light, Microphone, Sound leve, Motion (Distance), pH, Relative Humidity, Temperature, Universal input, Voltage</t>
        </r>
      </text>
    </comment>
    <comment ref="L11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Air Pressure, Current, External Temperature, GPS, Light, Microphone, Sound leve, Motion (Distance), pH, Relative Humidity, Temperature, Universal input, Voltage</t>
        </r>
      </text>
    </comment>
    <comment ref="M11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Air Pressure, Current, External Temperature, GPS, Light, Microphone, Sound leve, Motion (Distance), pH, Relative Humidity, Temperature, Universal input, Voltage</t>
        </r>
      </text>
    </comment>
    <comment ref="D15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Requires external GPS sensor.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Dov Bruker</author>
    <author>user</author>
    <author>Yoav Bruker</author>
  </authors>
  <commentList>
    <comment ref="H5" authorId="0" shapeId="0" xr:uid="{00000000-0006-0000-0200-000001000000}">
      <text>
        <r>
          <rPr>
            <b/>
            <sz val="9"/>
            <color indexed="81"/>
            <rFont val="Tahoma"/>
            <charset val="1"/>
          </rPr>
          <t>Dov Bruker:</t>
        </r>
        <r>
          <rPr>
            <sz val="9"/>
            <color indexed="81"/>
            <rFont val="Tahoma"/>
            <charset val="1"/>
          </rPr>
          <t xml:space="preserve">
LD-D801+ LD-A801</t>
        </r>
      </text>
    </comment>
    <comment ref="D8" authorId="1" shapeId="0" xr:uid="{00000000-0006-0000-02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Dual sensor: Current+Voltage</t>
        </r>
      </text>
    </comment>
    <comment ref="G8" authorId="2" shapeId="0" xr:uid="{9D0DE44A-CDF3-430F-81B4-2B4C32BCF4C3}">
      <text>
        <r>
          <rPr>
            <b/>
            <sz val="9"/>
            <color indexed="81"/>
            <rFont val="Tahoma"/>
            <charset val="1"/>
          </rPr>
          <t>Yoav Bruker:</t>
        </r>
        <r>
          <rPr>
            <sz val="9"/>
            <color indexed="81"/>
            <rFont val="Tahoma"/>
            <charset val="1"/>
          </rPr>
          <t xml:space="preserve">
Dual Sensor - Voltage &amp; Current
</t>
        </r>
      </text>
    </comment>
    <comment ref="C11" authorId="2" shapeId="0" xr:uid="{DDF136C8-0C19-489F-8F1D-514BD2CF2169}">
      <text>
        <r>
          <rPr>
            <b/>
            <sz val="9"/>
            <color indexed="81"/>
            <rFont val="Tahoma"/>
            <charset val="1"/>
          </rPr>
          <t>Yoav Bruker:</t>
        </r>
        <r>
          <rPr>
            <sz val="9"/>
            <color indexed="81"/>
            <rFont val="Tahoma"/>
            <charset val="1"/>
          </rPr>
          <t xml:space="preserve">
Not wireless</t>
        </r>
      </text>
    </comment>
    <comment ref="C12" authorId="2" shapeId="0" xr:uid="{61A35BE5-8A2E-4F72-87D0-DBE93FD81C1D}">
      <text>
        <r>
          <rPr>
            <b/>
            <sz val="9"/>
            <color indexed="81"/>
            <rFont val="Tahoma"/>
            <charset val="1"/>
          </rPr>
          <t>Yoav Bruker:</t>
        </r>
        <r>
          <rPr>
            <sz val="9"/>
            <color indexed="81"/>
            <rFont val="Tahoma"/>
            <charset val="1"/>
          </rPr>
          <t xml:space="preserve">
Including microphone</t>
        </r>
      </text>
    </comment>
    <comment ref="D22" authorId="2" shapeId="0" xr:uid="{AEA4639E-A2A2-413F-98E0-C440FF345200}">
      <text>
        <r>
          <rPr>
            <b/>
            <sz val="9"/>
            <color indexed="81"/>
            <rFont val="Tahoma"/>
            <charset val="1"/>
          </rPr>
          <t>Yoav Bruker:</t>
        </r>
        <r>
          <rPr>
            <sz val="9"/>
            <color indexed="81"/>
            <rFont val="Tahoma"/>
            <charset val="1"/>
          </rPr>
          <t xml:space="preserve">
&amp; Turbidity</t>
        </r>
      </text>
    </comment>
    <comment ref="E22" authorId="2" shapeId="0" xr:uid="{937FA690-4C42-4879-B104-B58BE83B58EC}">
      <text>
        <r>
          <rPr>
            <b/>
            <sz val="9"/>
            <color indexed="81"/>
            <rFont val="Tahoma"/>
            <charset val="1"/>
          </rPr>
          <t>Yoav Bruker:</t>
        </r>
        <r>
          <rPr>
            <sz val="9"/>
            <color indexed="81"/>
            <rFont val="Tahoma"/>
            <charset val="1"/>
          </rPr>
          <t xml:space="preserve">
&amp; Turbidity</t>
        </r>
      </text>
    </comment>
    <comment ref="G22" authorId="2" shapeId="0" xr:uid="{FE88807C-EE41-4418-AFFB-A0687ADABCFC}">
      <text>
        <r>
          <rPr>
            <b/>
            <sz val="9"/>
            <color indexed="81"/>
            <rFont val="Tahoma"/>
            <charset val="1"/>
          </rPr>
          <t>Yoav Bruker:</t>
        </r>
        <r>
          <rPr>
            <sz val="9"/>
            <color indexed="81"/>
            <rFont val="Tahoma"/>
            <charset val="1"/>
          </rPr>
          <t xml:space="preserve">
Dual Sensor - Colorimeter % Turbidity</t>
        </r>
      </text>
    </comment>
    <comment ref="C23" authorId="2" shapeId="0" xr:uid="{FD5CF957-F2CB-476E-989D-4F60E678288D}">
      <text>
        <r>
          <rPr>
            <b/>
            <sz val="9"/>
            <color indexed="81"/>
            <rFont val="Tahoma"/>
            <charset val="1"/>
          </rPr>
          <t>Yoav Bruker:</t>
        </r>
        <r>
          <rPr>
            <sz val="9"/>
            <color indexed="81"/>
            <rFont val="Tahoma"/>
            <charset val="1"/>
          </rPr>
          <t xml:space="preserve">
Not wireless</t>
        </r>
      </text>
    </comment>
    <comment ref="C24" authorId="2" shapeId="0" xr:uid="{DC9BF7E0-1783-45B4-8C53-E5AC10EDC174}">
      <text>
        <r>
          <rPr>
            <b/>
            <sz val="9"/>
            <color indexed="81"/>
            <rFont val="Tahoma"/>
            <charset val="1"/>
          </rPr>
          <t>Yoav Bruker:</t>
        </r>
        <r>
          <rPr>
            <sz val="9"/>
            <color indexed="81"/>
            <rFont val="Tahoma"/>
            <charset val="1"/>
          </rPr>
          <t xml:space="preserve">
Not wireless</t>
        </r>
      </text>
    </comment>
    <comment ref="C25" authorId="2" shapeId="0" xr:uid="{BCE4F431-AE02-432C-9A21-E1C619B01F19}">
      <text>
        <r>
          <rPr>
            <b/>
            <sz val="9"/>
            <color indexed="81"/>
            <rFont val="Tahoma"/>
            <charset val="1"/>
          </rPr>
          <t>Yoav Bruker:</t>
        </r>
        <r>
          <rPr>
            <sz val="9"/>
            <color indexed="81"/>
            <rFont val="Tahoma"/>
            <charset val="1"/>
          </rPr>
          <t xml:space="preserve">
Not wireless</t>
        </r>
      </text>
    </comment>
    <comment ref="D25" authorId="1" shapeId="0" xr:uid="{00000000-0006-0000-02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Only UVA</t>
        </r>
      </text>
    </comment>
    <comment ref="E27" authorId="2" shapeId="0" xr:uid="{47513349-112A-49E2-8283-AFDC048A14B6}">
      <text>
        <r>
          <rPr>
            <b/>
            <sz val="9"/>
            <color indexed="81"/>
            <rFont val="Tahoma"/>
            <charset val="1"/>
          </rPr>
          <t xml:space="preserve">Yoav Bruker:
</t>
        </r>
        <r>
          <rPr>
            <sz val="9"/>
            <color indexed="81"/>
            <rFont val="Tahoma"/>
            <family val="2"/>
          </rPr>
          <t>As part of the weather sensor, including: Humidity, Pressure, UV and GPS</t>
        </r>
      </text>
    </comment>
    <comment ref="C28" authorId="2" shapeId="0" xr:uid="{8339B507-7D1B-45B4-BEEB-6262B76AFDB7}">
      <text>
        <r>
          <rPr>
            <b/>
            <sz val="9"/>
            <color indexed="81"/>
            <rFont val="Tahoma"/>
            <charset val="1"/>
          </rPr>
          <t>Yoav Bruker:</t>
        </r>
        <r>
          <rPr>
            <sz val="9"/>
            <color indexed="81"/>
            <rFont val="Tahoma"/>
            <charset val="1"/>
          </rPr>
          <t xml:space="preserve">
Not wireless</t>
        </r>
      </text>
    </comment>
  </commentList>
</comments>
</file>

<file path=xl/sharedStrings.xml><?xml version="1.0" encoding="utf-8"?>
<sst xmlns="http://schemas.openxmlformats.org/spreadsheetml/2006/main" count="383" uniqueCount="179">
  <si>
    <t>Q1</t>
  </si>
  <si>
    <t>Q2</t>
  </si>
  <si>
    <t>Q3</t>
  </si>
  <si>
    <t>Q4</t>
  </si>
  <si>
    <t>Total</t>
  </si>
  <si>
    <t>Software</t>
  </si>
  <si>
    <t>CDW</t>
  </si>
  <si>
    <t>Nova ext Warranty income</t>
  </si>
  <si>
    <t>Nova additional software royalty</t>
  </si>
  <si>
    <t>Ingram</t>
  </si>
  <si>
    <t>Dell</t>
  </si>
  <si>
    <t>Frey</t>
  </si>
  <si>
    <t>IAT</t>
  </si>
  <si>
    <t>Direct</t>
  </si>
  <si>
    <t>Total 2008</t>
  </si>
  <si>
    <t>Nova sales</t>
  </si>
  <si>
    <t>US</t>
  </si>
  <si>
    <t>UK</t>
  </si>
  <si>
    <t>Russia</t>
  </si>
  <si>
    <t>Other</t>
  </si>
  <si>
    <t>Sensors</t>
  </si>
  <si>
    <t>Average price</t>
  </si>
  <si>
    <t>Quantity</t>
  </si>
  <si>
    <t>Region</t>
  </si>
  <si>
    <t>Product</t>
  </si>
  <si>
    <t>Industry</t>
  </si>
  <si>
    <t>Revenues by products according to regions</t>
  </si>
  <si>
    <t>US sales according to channels</t>
  </si>
  <si>
    <t>US sales</t>
  </si>
  <si>
    <t>Profitability according to products</t>
  </si>
  <si>
    <t>Sales price,net</t>
  </si>
  <si>
    <t>COGS</t>
  </si>
  <si>
    <t>EX</t>
  </si>
  <si>
    <t>SX</t>
  </si>
  <si>
    <t>Warranty</t>
  </si>
  <si>
    <t>Channel</t>
  </si>
  <si>
    <t>GM $</t>
  </si>
  <si>
    <t>GM %</t>
  </si>
  <si>
    <t>$</t>
  </si>
  <si>
    <t>revenues $ (000)</t>
  </si>
  <si>
    <t>Item</t>
  </si>
  <si>
    <t>Sensors:</t>
  </si>
  <si>
    <t>Voltage</t>
  </si>
  <si>
    <t>Current</t>
  </si>
  <si>
    <t>Microphone</t>
  </si>
  <si>
    <t>Barometer</t>
  </si>
  <si>
    <t>pH</t>
  </si>
  <si>
    <t>Conductivity</t>
  </si>
  <si>
    <t>GPS</t>
  </si>
  <si>
    <t>Acceleration</t>
  </si>
  <si>
    <t>Colorimeter</t>
  </si>
  <si>
    <t>No</t>
  </si>
  <si>
    <t>Yes</t>
  </si>
  <si>
    <t>Vernier</t>
  </si>
  <si>
    <t>Pasco</t>
  </si>
  <si>
    <t>Data Harvest</t>
  </si>
  <si>
    <t>Turbidity</t>
  </si>
  <si>
    <t>Globisense SRP</t>
  </si>
  <si>
    <t>Labdisc Enviro</t>
  </si>
  <si>
    <t>Labdisc GenSci</t>
  </si>
  <si>
    <t>Battery life</t>
  </si>
  <si>
    <t>Communication</t>
  </si>
  <si>
    <t>Size</t>
  </si>
  <si>
    <t>Weight</t>
  </si>
  <si>
    <t>Type</t>
  </si>
  <si>
    <t>Data logger</t>
  </si>
  <si>
    <t>Portability</t>
  </si>
  <si>
    <t>Company</t>
  </si>
  <si>
    <t>Standalone, PC, MAC, iPad</t>
  </si>
  <si>
    <t>410 gr.</t>
  </si>
  <si>
    <t>Standalone, PC, MAC</t>
  </si>
  <si>
    <t>~ 6 hours (school day)</t>
  </si>
  <si>
    <t>595 gr.</t>
  </si>
  <si>
    <t>GlobiLab</t>
  </si>
  <si>
    <t xml:space="preserve">Maximum sampling rate </t>
  </si>
  <si>
    <t>100000/s</t>
  </si>
  <si>
    <t>1000/s</t>
  </si>
  <si>
    <t>50000/s</t>
  </si>
  <si>
    <t>USB</t>
  </si>
  <si>
    <t>USB 2.0</t>
  </si>
  <si>
    <t>Battery type</t>
  </si>
  <si>
    <t>LiPO rechargeable</t>
  </si>
  <si>
    <t>Wireless communication</t>
  </si>
  <si>
    <r>
      <t xml:space="preserve">The only solution offering wireless communication for </t>
    </r>
    <r>
      <rPr>
        <u/>
        <sz val="10"/>
        <rFont val="Arial"/>
        <family val="2"/>
      </rPr>
      <t>all</t>
    </r>
    <r>
      <rPr>
        <sz val="10"/>
        <rFont val="Arial"/>
        <family val="2"/>
      </rPr>
      <t xml:space="preserve"> sensors</t>
    </r>
  </si>
  <si>
    <t>Light weight, easy to carry by students and resellers</t>
  </si>
  <si>
    <t>Compact, easy to carry by students and resellers</t>
  </si>
  <si>
    <t>Logger PRO</t>
  </si>
  <si>
    <t xml:space="preserve">Rechargeable </t>
  </si>
  <si>
    <t>PASCO (USA)</t>
  </si>
  <si>
    <t>VERNIER (USA)</t>
  </si>
  <si>
    <t>LiON Rechargeable</t>
  </si>
  <si>
    <t>Yes, Bluetooth V2.0</t>
  </si>
  <si>
    <t>Built in GPS</t>
  </si>
  <si>
    <t>Labdisc benefits</t>
  </si>
  <si>
    <t>The only complete solution consolidating a full lab into a single device</t>
  </si>
  <si>
    <t>Stand-alone with keypad, display, memory and rechargeable battery</t>
  </si>
  <si>
    <t>Ability to plot sensor data on Google Maps</t>
  </si>
  <si>
    <t>Enabling longer lasting scientific measurements. Saving the need for the daily charging of a large number of devices</t>
  </si>
  <si>
    <t>Supported platforms</t>
  </si>
  <si>
    <t>Sampling resolution</t>
  </si>
  <si>
    <t xml:space="preserve">Built-in sensors </t>
  </si>
  <si>
    <t>Remote data collection</t>
  </si>
  <si>
    <t>Automatic sensor testing &amp; calibration</t>
  </si>
  <si>
    <t>Wired communication</t>
  </si>
  <si>
    <t>Dimensions</t>
  </si>
  <si>
    <t>12-bit</t>
  </si>
  <si>
    <t>&gt; 150 hours</t>
  </si>
  <si>
    <t>300 hours</t>
  </si>
  <si>
    <t>iPad support is a major demand in USA schools today</t>
  </si>
  <si>
    <t xml:space="preserve">Packing-in the greatest number of sensors (probes) </t>
  </si>
  <si>
    <t>Sound level</t>
  </si>
  <si>
    <t>Data logging unit</t>
  </si>
  <si>
    <t>Light multi-range</t>
  </si>
  <si>
    <t>Distance/motion</t>
  </si>
  <si>
    <t>Air pressure</t>
  </si>
  <si>
    <t>Relative humidity</t>
  </si>
  <si>
    <t>Human pulse</t>
  </si>
  <si>
    <t>UV radiation</t>
  </si>
  <si>
    <t>Internal temperature</t>
  </si>
  <si>
    <t>Universal input</t>
  </si>
  <si>
    <t>Complete science lab: Data logger with built-in sensors</t>
  </si>
  <si>
    <t>ɸ=132, H=45 mm.</t>
  </si>
  <si>
    <t>160 x 115 x 53 mm.</t>
  </si>
  <si>
    <t>170 x 140 x 4.50 mm.</t>
  </si>
  <si>
    <t>Labdisc Competitive Analysis - Features and Benefits</t>
  </si>
  <si>
    <t>Wifi, Bluetooth</t>
  </si>
  <si>
    <t>Labdisc Physio</t>
  </si>
  <si>
    <t>Labdisc BioChem</t>
  </si>
  <si>
    <t>Spirometer</t>
  </si>
  <si>
    <t>Ext. Temperature</t>
  </si>
  <si>
    <t>Thermocouple</t>
  </si>
  <si>
    <t>IR wide temperature</t>
  </si>
  <si>
    <t>200gr</t>
  </si>
  <si>
    <t>llongwill</t>
  </si>
  <si>
    <t>Laybold Cassy</t>
  </si>
  <si>
    <t xml:space="preserve">CASSY Mobile </t>
  </si>
  <si>
    <t>Laybold</t>
  </si>
  <si>
    <t>Standalone, PC, iPad, Android</t>
  </si>
  <si>
    <t>Wifi</t>
  </si>
  <si>
    <t>6 x AA NiCa</t>
  </si>
  <si>
    <t>8 hours</t>
  </si>
  <si>
    <t>CASSY Mobile 2</t>
  </si>
  <si>
    <t>PC, iPad, iPhone, Android, Chrome</t>
  </si>
  <si>
    <t>Standalone, PC, MAC, iPad, Android, Linux, Chrome</t>
  </si>
  <si>
    <t>LD LAB</t>
  </si>
  <si>
    <t>N/A</t>
  </si>
  <si>
    <t>Interface</t>
  </si>
  <si>
    <t>CASSY app</t>
  </si>
  <si>
    <t>175 x 90 x 40 mm</t>
  </si>
  <si>
    <t>500 gr.</t>
  </si>
  <si>
    <t>DISlab</t>
  </si>
  <si>
    <t>llongwill DISlab</t>
  </si>
  <si>
    <t>?</t>
  </si>
  <si>
    <t>Labdisc Competitive Analysis - USA End-User Pricing</t>
  </si>
  <si>
    <t>V-Log</t>
  </si>
  <si>
    <t>Data Harvest V-Log</t>
  </si>
  <si>
    <t>Vernier LabQuest3</t>
  </si>
  <si>
    <t>Vernier Go Direct</t>
  </si>
  <si>
    <t>Pasco Spark Lxi2</t>
  </si>
  <si>
    <t>Pasco Wireless</t>
  </si>
  <si>
    <t>LabQuest3</t>
  </si>
  <si>
    <t xml:space="preserve"> 117  x 190 x 40 mm </t>
  </si>
  <si>
    <t>549 gr.</t>
  </si>
  <si>
    <t>Standalone, PC, MAC, iOS</t>
  </si>
  <si>
    <t>Vernier Graphical Analysis</t>
  </si>
  <si>
    <t>Bluetooth</t>
  </si>
  <si>
    <t>Varied</t>
  </si>
  <si>
    <t>Spark Lxi2</t>
  </si>
  <si>
    <t>Single wireless sensors</t>
  </si>
  <si>
    <t xml:space="preserve">SPARKvue </t>
  </si>
  <si>
    <t>~ 7 hours (school day)</t>
  </si>
  <si>
    <t>EasySense2</t>
  </si>
  <si>
    <t>SmartQ Wireless</t>
  </si>
  <si>
    <t>PC, MAC, iOS</t>
  </si>
  <si>
    <t>Data Harvest SmartQ</t>
  </si>
  <si>
    <t>VERNIER</t>
  </si>
  <si>
    <t>PASCO</t>
  </si>
  <si>
    <t>DATA HARVEST</t>
  </si>
  <si>
    <t xml:space="preserve">GLOBISENS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</si>
</sst>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_-;\-* #,##0.00_-;_-* &quot;-&quot;??_-;_-@_-"/>
    <numFmt numFmtId="164" formatCode="&quot;$&quot;#,##0\ ;\(&quot;$&quot;#,##0\)"/>
    <numFmt numFmtId="165" formatCode="_-* #,##0_-;\-* #,##0_-;_-* &quot;-&quot;??_-;_-@_-"/>
    <numFmt numFmtId="166" formatCode="_-[$$-409]* #,##0.00_ ;_-[$$-409]* \-#,##0.00\ ;_-[$$-409]* &quot;-&quot;??_ ;_-@_ "/>
    <numFmt numFmtId="167" formatCode="_-[$$-409]* #,##0_ ;_-[$$-409]* \-#,##0\ ;_-[$$-409]* &quot;-&quot;??_ ;_-@_ "/>
  </numFmts>
  <fonts count="24" x14ac:knownFonts="1">
    <font>
      <sz val="10"/>
      <name val="Arial"/>
      <charset val="177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u/>
      <sz val="11"/>
      <color indexed="8"/>
      <name val="Arial"/>
      <family val="2"/>
      <charset val="177"/>
    </font>
    <font>
      <sz val="8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u/>
      <sz val="18"/>
      <color indexed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color rgb="FFFF0000"/>
      <name val="Arial"/>
      <family val="2"/>
    </font>
    <font>
      <sz val="8"/>
      <name val="Arial"/>
      <charset val="177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0">
    <xf numFmtId="0" fontId="0" fillId="0" borderId="0" xfId="0"/>
    <xf numFmtId="1" fontId="0" fillId="0" borderId="0" xfId="0" applyNumberFormat="1"/>
    <xf numFmtId="0" fontId="0" fillId="0" borderId="1" xfId="0" applyBorder="1"/>
    <xf numFmtId="0" fontId="2" fillId="0" borderId="0" xfId="0" applyFont="1"/>
    <xf numFmtId="0" fontId="2" fillId="0" borderId="2" xfId="0" applyFont="1" applyBorder="1"/>
    <xf numFmtId="165" fontId="2" fillId="0" borderId="2" xfId="1" applyNumberFormat="1" applyFont="1" applyBorder="1"/>
    <xf numFmtId="165" fontId="2" fillId="0" borderId="2" xfId="0" applyNumberFormat="1" applyFont="1" applyBorder="1"/>
    <xf numFmtId="165" fontId="0" fillId="0" borderId="0" xfId="1" applyNumberFormat="1" applyFont="1"/>
    <xf numFmtId="165" fontId="0" fillId="0" borderId="1" xfId="1" applyNumberFormat="1" applyFont="1" applyBorder="1"/>
    <xf numFmtId="165" fontId="0" fillId="0" borderId="2" xfId="1" applyNumberFormat="1" applyFont="1" applyBorder="1"/>
    <xf numFmtId="165" fontId="2" fillId="0" borderId="0" xfId="1" applyNumberFormat="1" applyFont="1"/>
    <xf numFmtId="165" fontId="2" fillId="0" borderId="1" xfId="1" applyNumberFormat="1" applyFont="1" applyBorder="1"/>
    <xf numFmtId="9" fontId="0" fillId="0" borderId="0" xfId="0" applyNumberFormat="1"/>
    <xf numFmtId="9" fontId="2" fillId="0" borderId="0" xfId="6" applyFont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/>
    <xf numFmtId="165" fontId="0" fillId="0" borderId="0" xfId="1" applyNumberFormat="1" applyFont="1" applyFill="1"/>
    <xf numFmtId="165" fontId="2" fillId="0" borderId="0" xfId="1" applyNumberFormat="1" applyFont="1" applyFill="1"/>
    <xf numFmtId="0" fontId="2" fillId="0" borderId="1" xfId="0" applyFont="1" applyBorder="1" applyAlignment="1">
      <alignment horizontal="center"/>
    </xf>
    <xf numFmtId="0" fontId="1" fillId="0" borderId="0" xfId="0" applyFont="1"/>
    <xf numFmtId="0" fontId="6" fillId="0" borderId="0" xfId="0" applyFont="1"/>
    <xf numFmtId="166" fontId="0" fillId="0" borderId="0" xfId="0" applyNumberFormat="1"/>
    <xf numFmtId="167" fontId="10" fillId="0" borderId="0" xfId="0" applyNumberFormat="1" applyFont="1" applyAlignment="1">
      <alignment horizontal="center"/>
    </xf>
    <xf numFmtId="166" fontId="10" fillId="0" borderId="0" xfId="0" applyNumberFormat="1" applyFont="1"/>
    <xf numFmtId="167" fontId="0" fillId="0" borderId="0" xfId="0" applyNumberFormat="1"/>
    <xf numFmtId="0" fontId="8" fillId="0" borderId="4" xfId="0" applyFont="1" applyBorder="1" applyAlignment="1">
      <alignment vertical="center"/>
    </xf>
    <xf numFmtId="166" fontId="0" fillId="0" borderId="4" xfId="0" applyNumberFormat="1" applyBorder="1" applyAlignment="1">
      <alignment vertical="center" wrapText="1"/>
    </xf>
    <xf numFmtId="2" fontId="9" fillId="0" borderId="4" xfId="0" applyNumberFormat="1" applyFont="1" applyBorder="1" applyAlignment="1">
      <alignment horizontal="center" vertical="center" wrapText="1"/>
    </xf>
    <xf numFmtId="166" fontId="9" fillId="0" borderId="4" xfId="0" applyNumberFormat="1" applyFont="1" applyBorder="1" applyAlignment="1">
      <alignment horizontal="center" vertical="center" wrapText="1"/>
    </xf>
    <xf numFmtId="0" fontId="1" fillId="0" borderId="4" xfId="0" applyFont="1" applyBorder="1"/>
    <xf numFmtId="166" fontId="0" fillId="0" borderId="4" xfId="0" applyNumberFormat="1" applyBorder="1"/>
    <xf numFmtId="1" fontId="0" fillId="0" borderId="4" xfId="0" applyNumberFormat="1" applyBorder="1" applyAlignment="1">
      <alignment horizontal="center"/>
    </xf>
    <xf numFmtId="0" fontId="1" fillId="0" borderId="4" xfId="0" applyFont="1" applyBorder="1" applyAlignment="1">
      <alignment wrapText="1"/>
    </xf>
    <xf numFmtId="166" fontId="0" fillId="0" borderId="4" xfId="0" applyNumberFormat="1" applyBorder="1" applyAlignment="1">
      <alignment horizontal="center"/>
    </xf>
    <xf numFmtId="0" fontId="8" fillId="0" borderId="4" xfId="0" applyFont="1" applyBorder="1"/>
    <xf numFmtId="0" fontId="5" fillId="0" borderId="4" xfId="0" applyFont="1" applyBorder="1"/>
    <xf numFmtId="2" fontId="0" fillId="0" borderId="4" xfId="0" applyNumberFormat="1" applyBorder="1" applyAlignment="1">
      <alignment horizontal="center"/>
    </xf>
    <xf numFmtId="0" fontId="11" fillId="0" borderId="0" xfId="0" applyFont="1"/>
    <xf numFmtId="1" fontId="1" fillId="0" borderId="4" xfId="0" applyNumberFormat="1" applyFont="1" applyBorder="1" applyAlignment="1">
      <alignment horizontal="center"/>
    </xf>
    <xf numFmtId="166" fontId="0" fillId="2" borderId="4" xfId="0" applyNumberFormat="1" applyFill="1" applyBorder="1" applyAlignment="1">
      <alignment horizontal="center"/>
    </xf>
    <xf numFmtId="0" fontId="1" fillId="0" borderId="4" xfId="0" applyFont="1" applyBorder="1" applyAlignment="1">
      <alignment vertical="center"/>
    </xf>
    <xf numFmtId="166" fontId="1" fillId="0" borderId="4" xfId="0" applyNumberFormat="1" applyFont="1" applyBorder="1" applyAlignment="1">
      <alignment horizontal="center"/>
    </xf>
    <xf numFmtId="0" fontId="12" fillId="0" borderId="4" xfId="0" applyFont="1" applyBorder="1"/>
    <xf numFmtId="3" fontId="0" fillId="0" borderId="4" xfId="0" applyNumberFormat="1" applyBorder="1" applyAlignment="1">
      <alignment horizontal="center"/>
    </xf>
    <xf numFmtId="166" fontId="0" fillId="0" borderId="4" xfId="0" applyNumberFormat="1" applyBorder="1" applyAlignment="1">
      <alignment horizontal="center" wrapText="1"/>
    </xf>
    <xf numFmtId="166" fontId="1" fillId="0" borderId="4" xfId="0" applyNumberFormat="1" applyFont="1" applyBorder="1" applyAlignment="1">
      <alignment horizontal="center" wrapText="1"/>
    </xf>
    <xf numFmtId="1" fontId="0" fillId="2" borderId="4" xfId="0" applyNumberFormat="1" applyFill="1" applyBorder="1" applyAlignment="1">
      <alignment horizontal="center" wrapText="1"/>
    </xf>
    <xf numFmtId="1" fontId="1" fillId="0" borderId="4" xfId="0" applyNumberFormat="1" applyFont="1" applyBorder="1" applyAlignment="1">
      <alignment horizontal="center" wrapText="1"/>
    </xf>
    <xf numFmtId="1" fontId="0" fillId="0" borderId="4" xfId="0" applyNumberFormat="1" applyBorder="1" applyAlignment="1">
      <alignment horizontal="center" wrapText="1"/>
    </xf>
    <xf numFmtId="3" fontId="0" fillId="0" borderId="4" xfId="0" applyNumberFormat="1" applyBorder="1" applyAlignment="1">
      <alignment horizontal="center" wrapText="1"/>
    </xf>
    <xf numFmtId="0" fontId="2" fillId="2" borderId="3" xfId="0" applyFont="1" applyFill="1" applyBorder="1" applyAlignment="1">
      <alignment vertical="center"/>
    </xf>
    <xf numFmtId="0" fontId="15" fillId="2" borderId="3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wrapText="1"/>
    </xf>
    <xf numFmtId="0" fontId="15" fillId="3" borderId="4" xfId="0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left" wrapText="1"/>
    </xf>
    <xf numFmtId="0" fontId="0" fillId="4" borderId="4" xfId="0" applyFill="1" applyBorder="1" applyAlignment="1">
      <alignment horizontal="center"/>
    </xf>
    <xf numFmtId="2" fontId="1" fillId="4" borderId="4" xfId="0" applyNumberFormat="1" applyFont="1" applyFill="1" applyBorder="1" applyAlignment="1">
      <alignment horizontal="left" vertical="center" wrapText="1"/>
    </xf>
    <xf numFmtId="0" fontId="1" fillId="4" borderId="4" xfId="0" applyFont="1" applyFill="1" applyBorder="1" applyAlignment="1">
      <alignment horizontal="left" wrapText="1"/>
    </xf>
    <xf numFmtId="0" fontId="0" fillId="4" borderId="4" xfId="0" applyFill="1" applyBorder="1" applyAlignment="1">
      <alignment horizontal="left" wrapText="1"/>
    </xf>
    <xf numFmtId="3" fontId="0" fillId="4" borderId="4" xfId="0" applyNumberFormat="1" applyFill="1" applyBorder="1" applyAlignment="1">
      <alignment horizontal="left" wrapText="1"/>
    </xf>
    <xf numFmtId="1" fontId="18" fillId="0" borderId="4" xfId="0" applyNumberFormat="1" applyFont="1" applyBorder="1" applyAlignment="1">
      <alignment horizontal="center"/>
    </xf>
    <xf numFmtId="166" fontId="10" fillId="0" borderId="0" xfId="0" applyNumberFormat="1" applyFont="1" applyAlignment="1">
      <alignment horizontal="left"/>
    </xf>
    <xf numFmtId="166" fontId="9" fillId="0" borderId="4" xfId="0" applyNumberFormat="1" applyFont="1" applyBorder="1" applyAlignment="1">
      <alignment horizontal="center"/>
    </xf>
    <xf numFmtId="0" fontId="0" fillId="0" borderId="4" xfId="0" applyBorder="1"/>
    <xf numFmtId="0" fontId="18" fillId="0" borderId="4" xfId="0" applyFont="1" applyBorder="1" applyAlignment="1">
      <alignment horizontal="center"/>
    </xf>
    <xf numFmtId="0" fontId="0" fillId="2" borderId="3" xfId="0" applyFill="1" applyBorder="1" applyAlignment="1">
      <alignment vertical="center"/>
    </xf>
    <xf numFmtId="0" fontId="0" fillId="0" borderId="4" xfId="0" applyBorder="1" applyAlignment="1">
      <alignment horizontal="center"/>
    </xf>
    <xf numFmtId="0" fontId="15" fillId="2" borderId="4" xfId="0" applyFont="1" applyFill="1" applyBorder="1" applyAlignment="1">
      <alignment horizontal="center" vertical="center"/>
    </xf>
    <xf numFmtId="167" fontId="19" fillId="0" borderId="0" xfId="0" applyNumberFormat="1" applyFont="1" applyAlignment="1">
      <alignment horizontal="center"/>
    </xf>
    <xf numFmtId="166" fontId="0" fillId="5" borderId="4" xfId="0" applyNumberFormat="1" applyFill="1" applyBorder="1"/>
    <xf numFmtId="0" fontId="18" fillId="0" borderId="4" xfId="0" applyFont="1" applyBorder="1"/>
    <xf numFmtId="166" fontId="18" fillId="0" borderId="4" xfId="0" applyNumberFormat="1" applyFont="1" applyBorder="1"/>
    <xf numFmtId="0" fontId="22" fillId="0" borderId="0" xfId="0" applyFont="1"/>
    <xf numFmtId="1" fontId="0" fillId="0" borderId="0" xfId="0" applyNumberFormat="1" applyAlignment="1">
      <alignment horizontal="center"/>
    </xf>
    <xf numFmtId="1" fontId="1" fillId="0" borderId="6" xfId="0" applyNumberFormat="1" applyFon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1" fontId="1" fillId="0" borderId="5" xfId="0" applyNumberFormat="1" applyFont="1" applyBorder="1" applyAlignment="1">
      <alignment horizontal="center"/>
    </xf>
    <xf numFmtId="166" fontId="1" fillId="0" borderId="4" xfId="0" applyNumberFormat="1" applyFont="1" applyBorder="1"/>
    <xf numFmtId="0" fontId="0" fillId="0" borderId="1" xfId="0" applyBorder="1" applyAlignment="1">
      <alignment horizontal="center"/>
    </xf>
  </cellXfs>
  <cellStyles count="7">
    <cellStyle name="Comma" xfId="1" builtinId="3"/>
    <cellStyle name="Comma0" xfId="2" xr:uid="{00000000-0005-0000-0000-000001000000}"/>
    <cellStyle name="Currency0" xfId="3" xr:uid="{00000000-0005-0000-0000-000002000000}"/>
    <cellStyle name="Date" xfId="4" xr:uid="{00000000-0005-0000-0000-000003000000}"/>
    <cellStyle name="Fixed" xfId="5" xr:uid="{00000000-0005-0000-0000-000004000000}"/>
    <cellStyle name="Normal" xfId="0" builtinId="0"/>
    <cellStyle name="Percent" xfId="6" builtinId="5"/>
  </cellStyles>
  <dxfs count="4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_-[$$-409]* #,##0.00_ ;_-[$$-409]* \-#,##0.00\ ;_-[$$-409]* &quot;-&quot;??_ ;_-@_ 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_-[$$-409]* #,##0.00_ ;_-[$$-409]* \-#,##0.00\ ;_-[$$-409]* &quot;-&quot;??_ ;_-@_ 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_-[$$-409]* #,##0.00_ ;_-[$$-409]* \-#,##0.00\ ;_-[$$-409]* &quot;-&quot;??_ ;_-@_ 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_-[$$-409]* #,##0.00_ ;_-[$$-409]* \-#,##0.00\ ;_-[$$-409]* &quot;-&quot;??_ ;_-@_ 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6" formatCode="_-[$$-409]* #,##0.00_ ;_-[$$-409]* \-#,##0.00\ ;_-[$$-409]* &quot;-&quot;??_ ;_-@_ 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_-[$$-409]* #,##0.00_ ;_-[$$-409]* \-#,##0.00\ ;_-[$$-409]* &quot;-&quot;??_ ;_-@_ 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6" formatCode="_-[$$-409]* #,##0.00_ ;_-[$$-409]* \-#,##0.00\ ;_-[$$-409]* &quot;-&quot;??_ ;_-@_ 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_-[$$-409]* #,##0.00_ ;_-[$$-409]* \-#,##0.00\ ;_-[$$-409]* &quot;-&quot;??_ ;_-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6" formatCode="_-[$$-409]* #,##0.00_ ;_-[$$-409]* \-#,##0.00\ ;_-[$$-409]* &quot;-&quot;??_ ;_-@_ 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_-[$$-409]* #,##0.00_ ;_-[$$-409]* \-#,##0.00\ ;_-[$$-409]* &quot;-&quot;??_ ;_-@_ 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6" formatCode="_-[$$-409]* #,##0.00_ ;_-[$$-409]* \-#,##0.00\ ;_-[$$-409]* &quot;-&quot;??_ ;_-@_ 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_-[$$-409]* #,##0.00_ ;_-[$$-409]* \-#,##0.00\ ;_-[$$-409]* &quot;-&quot;??_ ;_-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border outline="0">
        <top style="thin">
          <color indexed="64"/>
        </top>
      </border>
    </dxf>
    <dxf>
      <alignment horizontal="center" vertical="bottom" textRotation="0" wrapText="0" relativeIndent="0" justifyLastLine="0" shrinkToFit="0" readingOrder="0"/>
    </dxf>
    <dxf>
      <border outline="0">
        <bottom style="thin">
          <color indexed="64"/>
        </bottom>
      </border>
    </dxf>
    <dxf>
      <fill>
        <patternFill>
          <fgColor indexed="64"/>
          <bgColor theme="0" tint="-0.14999847407452621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_-[$$-409]* #,##0.00_ ;_-[$$-409]* \-#,##0.00\ ;_-[$$-409]* &quot;-&quot;??_ ;_-@_ 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_-[$$-409]* #,##0.00_ ;_-[$$-409]* \-#,##0.00\ ;_-[$$-409]* &quot;-&quot;??_ ;_-@_ 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_-[$$-409]* #,##0.00_ ;_-[$$-409]* \-#,##0.00\ ;_-[$$-409]* &quot;-&quot;??_ ;_-@_ 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_-[$$-409]* #,##0.00_ ;_-[$$-409]* \-#,##0.00\ ;_-[$$-409]* &quot;-&quot;??_ ;_-@_ 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_-[$$-409]* #,##0.00_ ;_-[$$-409]* \-#,##0.00\ ;_-[$$-409]* &quot;-&quot;??_ ;_-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_-[$$-409]* #,##0.00_ ;_-[$$-409]* \-#,##0.00\ ;_-[$$-409]* &quot;-&quot;??_ ;_-@_ 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_-[$$-409]* #,##0.00_ ;_-[$$-409]* \-#,##0.00\ ;_-[$$-409]* &quot;-&quot;??_ ;_-@_ 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_-[$$-409]* #,##0.00_ ;_-[$$-409]* \-#,##0.00\ ;_-[$$-409]* &quot;-&quot;??_ ;_-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_-[$$-409]* #,##0.00_ ;_-[$$-409]* \-#,##0.00\ ;_-[$$-409]* &quot;-&quot;??_ ;_-@_ 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_-[$$-409]* #,##0.00_ ;_-[$$-409]* \-#,##0.00\ ;_-[$$-409]* &quot;-&quot;??_ ;_-@_ 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border outline="0">
        <top style="thin">
          <color rgb="FF000000"/>
        </top>
      </border>
    </dxf>
    <dxf>
      <alignment horizontal="center" vertical="bottom" textRotation="0" wrapText="0" relativeIndent="0" justifyLastLine="0" shrinkToFit="0" readingOrder="0"/>
    </dxf>
    <dxf>
      <border outline="0">
        <bottom style="thin">
          <color rgb="FF000000"/>
        </bottom>
      </border>
    </dxf>
    <dxf>
      <font>
        <b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2" defaultTableStyle="TableStyleMedium9" defaultPivotStyle="PivotStyleLight16">
    <tableStyle name="Table Style 1" pivot="0" count="0" xr9:uid="{00000000-0011-0000-FFFF-FFFF00000000}"/>
    <tableStyle name="Table Style 2" pivot="0" count="1" xr9:uid="{00000000-0011-0000-FFFF-FFFF01000000}">
      <tableStyleElement type="wholeTable" dxfId="48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8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2.png"/><Relationship Id="rId18" Type="http://schemas.openxmlformats.org/officeDocument/2006/relationships/image" Target="../media/image46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32.png"/><Relationship Id="rId34" Type="http://schemas.openxmlformats.org/officeDocument/2006/relationships/image" Target="../media/image21.png"/><Relationship Id="rId7" Type="http://schemas.openxmlformats.org/officeDocument/2006/relationships/image" Target="../media/image37.jpeg"/><Relationship Id="rId12" Type="http://schemas.openxmlformats.org/officeDocument/2006/relationships/image" Target="../media/image41.png"/><Relationship Id="rId17" Type="http://schemas.openxmlformats.org/officeDocument/2006/relationships/image" Target="../media/image45.png"/><Relationship Id="rId25" Type="http://schemas.openxmlformats.org/officeDocument/2006/relationships/image" Target="../media/image25.png"/><Relationship Id="rId33" Type="http://schemas.openxmlformats.org/officeDocument/2006/relationships/image" Target="../media/image20.png"/><Relationship Id="rId2" Type="http://schemas.openxmlformats.org/officeDocument/2006/relationships/image" Target="../media/image2.jpeg"/><Relationship Id="rId16" Type="http://schemas.openxmlformats.org/officeDocument/2006/relationships/image" Target="../media/image44.png"/><Relationship Id="rId20" Type="http://schemas.openxmlformats.org/officeDocument/2006/relationships/image" Target="../media/image31.png"/><Relationship Id="rId29" Type="http://schemas.openxmlformats.org/officeDocument/2006/relationships/image" Target="../media/image29.png"/><Relationship Id="rId1" Type="http://schemas.openxmlformats.org/officeDocument/2006/relationships/image" Target="../media/image35.jpeg"/><Relationship Id="rId6" Type="http://schemas.openxmlformats.org/officeDocument/2006/relationships/image" Target="../media/image36.jpe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32" Type="http://schemas.openxmlformats.org/officeDocument/2006/relationships/image" Target="../media/image19.png"/><Relationship Id="rId5" Type="http://schemas.openxmlformats.org/officeDocument/2006/relationships/image" Target="../media/image5.jpeg"/><Relationship Id="rId15" Type="http://schemas.openxmlformats.org/officeDocument/2006/relationships/image" Target="../media/image23.jpg"/><Relationship Id="rId23" Type="http://schemas.openxmlformats.org/officeDocument/2006/relationships/image" Target="../media/image34.png"/><Relationship Id="rId28" Type="http://schemas.openxmlformats.org/officeDocument/2006/relationships/image" Target="../media/image28.png"/><Relationship Id="rId10" Type="http://schemas.openxmlformats.org/officeDocument/2006/relationships/image" Target="../media/image40.png"/><Relationship Id="rId19" Type="http://schemas.openxmlformats.org/officeDocument/2006/relationships/image" Target="../media/image30.png"/><Relationship Id="rId31" Type="http://schemas.openxmlformats.org/officeDocument/2006/relationships/image" Target="../media/image18.png"/><Relationship Id="rId4" Type="http://schemas.openxmlformats.org/officeDocument/2006/relationships/image" Target="../media/image4.jpeg"/><Relationship Id="rId9" Type="http://schemas.openxmlformats.org/officeDocument/2006/relationships/image" Target="../media/image39.png"/><Relationship Id="rId14" Type="http://schemas.openxmlformats.org/officeDocument/2006/relationships/image" Target="../media/image43.jpeg"/><Relationship Id="rId22" Type="http://schemas.openxmlformats.org/officeDocument/2006/relationships/image" Target="../media/image33.png"/><Relationship Id="rId27" Type="http://schemas.openxmlformats.org/officeDocument/2006/relationships/image" Target="../media/image27.png"/><Relationship Id="rId30" Type="http://schemas.openxmlformats.org/officeDocument/2006/relationships/image" Target="../media/image17.png"/><Relationship Id="rId8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77151</xdr:colOff>
      <xdr:row>3</xdr:row>
      <xdr:rowOff>292418</xdr:rowOff>
    </xdr:from>
    <xdr:to>
      <xdr:col>9</xdr:col>
      <xdr:colOff>1565932</xdr:colOff>
      <xdr:row>3</xdr:row>
      <xdr:rowOff>1551145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73"/>
        <a:stretch/>
      </xdr:blipFill>
      <xdr:spPr>
        <a:xfrm>
          <a:off x="15522891" y="1298258"/>
          <a:ext cx="1490686" cy="1247297"/>
        </a:xfrm>
        <a:prstGeom prst="rect">
          <a:avLst/>
        </a:prstGeom>
      </xdr:spPr>
    </xdr:pic>
    <xdr:clientData/>
  </xdr:twoCellAnchor>
  <xdr:twoCellAnchor editAs="oneCell">
    <xdr:from>
      <xdr:col>10</xdr:col>
      <xdr:colOff>307180</xdr:colOff>
      <xdr:row>3</xdr:row>
      <xdr:rowOff>289559</xdr:rowOff>
    </xdr:from>
    <xdr:to>
      <xdr:col>10</xdr:col>
      <xdr:colOff>1554479</xdr:colOff>
      <xdr:row>3</xdr:row>
      <xdr:rowOff>1519712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61" r="7155"/>
        <a:stretch/>
      </xdr:blipFill>
      <xdr:spPr>
        <a:xfrm>
          <a:off x="17360740" y="1295399"/>
          <a:ext cx="1239679" cy="1230153"/>
        </a:xfrm>
        <a:prstGeom prst="rect">
          <a:avLst/>
        </a:prstGeom>
      </xdr:spPr>
    </xdr:pic>
    <xdr:clientData/>
  </xdr:twoCellAnchor>
  <xdr:twoCellAnchor editAs="oneCell">
    <xdr:from>
      <xdr:col>3</xdr:col>
      <xdr:colOff>547686</xdr:colOff>
      <xdr:row>3</xdr:row>
      <xdr:rowOff>825141</xdr:rowOff>
    </xdr:from>
    <xdr:to>
      <xdr:col>3</xdr:col>
      <xdr:colOff>1634965</xdr:colOff>
      <xdr:row>3</xdr:row>
      <xdr:rowOff>1678783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092" y="1825266"/>
          <a:ext cx="1083469" cy="853642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3</xdr:row>
      <xdr:rowOff>841814</xdr:rowOff>
    </xdr:from>
    <xdr:to>
      <xdr:col>5</xdr:col>
      <xdr:colOff>1405089</xdr:colOff>
      <xdr:row>3</xdr:row>
      <xdr:rowOff>1443038</xdr:rowOff>
    </xdr:to>
    <xdr:pic>
      <xdr:nvPicPr>
        <xdr:cNvPr id="17" name="Picture 16" descr="IMG_1092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r="9774" b="9883"/>
        <a:stretch>
          <a:fillRect/>
        </a:stretch>
      </xdr:blipFill>
      <xdr:spPr>
        <a:xfrm>
          <a:off x="6376988" y="1841939"/>
          <a:ext cx="719289" cy="601224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</xdr:colOff>
      <xdr:row>3</xdr:row>
      <xdr:rowOff>786647</xdr:rowOff>
    </xdr:from>
    <xdr:to>
      <xdr:col>5</xdr:col>
      <xdr:colOff>872490</xdr:colOff>
      <xdr:row>3</xdr:row>
      <xdr:rowOff>1528287</xdr:rowOff>
    </xdr:to>
    <xdr:pic>
      <xdr:nvPicPr>
        <xdr:cNvPr id="18" name="Picture 17" descr="ph.jp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 l="15474"/>
        <a:stretch>
          <a:fillRect/>
        </a:stretch>
      </xdr:blipFill>
      <xdr:spPr>
        <a:xfrm>
          <a:off x="5762625" y="1786772"/>
          <a:ext cx="785813" cy="74926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228895</xdr:colOff>
      <xdr:row>3</xdr:row>
      <xdr:rowOff>295007</xdr:rowOff>
    </xdr:from>
    <xdr:to>
      <xdr:col>12</xdr:col>
      <xdr:colOff>1497328</xdr:colOff>
      <xdr:row>3</xdr:row>
      <xdr:rowOff>1473043</xdr:rowOff>
    </xdr:to>
    <xdr:pic>
      <xdr:nvPicPr>
        <xdr:cNvPr id="20" name="Picture 19" descr="Lbdc_biochem_L_View.jp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0741935" y="1300847"/>
          <a:ext cx="1268433" cy="1178036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166688</xdr:colOff>
      <xdr:row>3</xdr:row>
      <xdr:rowOff>297656</xdr:rowOff>
    </xdr:from>
    <xdr:to>
      <xdr:col>11</xdr:col>
      <xdr:colOff>1543791</xdr:colOff>
      <xdr:row>3</xdr:row>
      <xdr:rowOff>1490185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6" r="7714"/>
        <a:stretch/>
      </xdr:blipFill>
      <xdr:spPr>
        <a:xfrm>
          <a:off x="15513844" y="1297781"/>
          <a:ext cx="1346706" cy="1196339"/>
        </a:xfrm>
        <a:prstGeom prst="rect">
          <a:avLst/>
        </a:prstGeom>
      </xdr:spPr>
    </xdr:pic>
    <xdr:clientData/>
  </xdr:twoCellAnchor>
  <xdr:twoCellAnchor editAs="oneCell">
    <xdr:from>
      <xdr:col>8</xdr:col>
      <xdr:colOff>147161</xdr:colOff>
      <xdr:row>3</xdr:row>
      <xdr:rowOff>308610</xdr:rowOff>
    </xdr:from>
    <xdr:to>
      <xdr:col>8</xdr:col>
      <xdr:colOff>1406404</xdr:colOff>
      <xdr:row>3</xdr:row>
      <xdr:rowOff>1444466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7941" y="1314450"/>
          <a:ext cx="1259243" cy="1133951"/>
        </a:xfrm>
        <a:prstGeom prst="rect">
          <a:avLst/>
        </a:prstGeom>
      </xdr:spPr>
    </xdr:pic>
    <xdr:clientData/>
  </xdr:twoCellAnchor>
  <xdr:twoCellAnchor>
    <xdr:from>
      <xdr:col>7</xdr:col>
      <xdr:colOff>202405</xdr:colOff>
      <xdr:row>3</xdr:row>
      <xdr:rowOff>202406</xdr:rowOff>
    </xdr:from>
    <xdr:to>
      <xdr:col>7</xdr:col>
      <xdr:colOff>1559717</xdr:colOff>
      <xdr:row>3</xdr:row>
      <xdr:rowOff>1558911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pSpPr/>
      </xdr:nvGrpSpPr>
      <xdr:grpSpPr>
        <a:xfrm>
          <a:off x="12449650" y="1229201"/>
          <a:ext cx="1359217" cy="1358410"/>
          <a:chOff x="0" y="0"/>
          <a:chExt cx="4295775" cy="3543300"/>
        </a:xfrm>
      </xdr:grpSpPr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725" y="1162050"/>
            <a:ext cx="2000250" cy="962025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19225" y="771525"/>
            <a:ext cx="2876550" cy="1390650"/>
          </a:xfrm>
          <a:prstGeom prst="rect">
            <a:avLst/>
          </a:prstGeom>
        </xdr:spPr>
      </xdr:pic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19225" y="0"/>
            <a:ext cx="1952625" cy="942975"/>
          </a:xfrm>
          <a:prstGeom prst="rect">
            <a:avLst/>
          </a:prstGeom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581025"/>
            <a:ext cx="1419225" cy="685800"/>
          </a:xfrm>
          <a:prstGeom prst="rect">
            <a:avLst/>
          </a:prstGeom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0909" r="30546"/>
          <a:stretch/>
        </xdr:blipFill>
        <xdr:spPr bwMode="auto">
          <a:xfrm>
            <a:off x="2533650" y="2019300"/>
            <a:ext cx="1009650" cy="126682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2295525"/>
            <a:ext cx="2581275" cy="1247775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40106</xdr:colOff>
      <xdr:row>3</xdr:row>
      <xdr:rowOff>0</xdr:rowOff>
    </xdr:from>
    <xdr:to>
      <xdr:col>3</xdr:col>
      <xdr:colOff>1252789</xdr:colOff>
      <xdr:row>3</xdr:row>
      <xdr:rowOff>1223497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74D074E-EB02-4D3E-94EA-D224741193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1300" r="59675"/>
        <a:stretch/>
      </xdr:blipFill>
      <xdr:spPr>
        <a:xfrm>
          <a:off x="7419474" y="1002632"/>
          <a:ext cx="1203158" cy="1225402"/>
        </a:xfrm>
        <a:prstGeom prst="rect">
          <a:avLst/>
        </a:prstGeom>
      </xdr:spPr>
    </xdr:pic>
    <xdr:clientData/>
  </xdr:twoCellAnchor>
  <xdr:twoCellAnchor editAs="oneCell">
    <xdr:from>
      <xdr:col>5</xdr:col>
      <xdr:colOff>121921</xdr:colOff>
      <xdr:row>3</xdr:row>
      <xdr:rowOff>99060</xdr:rowOff>
    </xdr:from>
    <xdr:to>
      <xdr:col>5</xdr:col>
      <xdr:colOff>1100157</xdr:colOff>
      <xdr:row>3</xdr:row>
      <xdr:rowOff>872772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BD15F20-8C95-97E2-346C-1CDBE1427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679431" y="1104900"/>
          <a:ext cx="974426" cy="762282"/>
        </a:xfrm>
        <a:prstGeom prst="rect">
          <a:avLst/>
        </a:prstGeom>
      </xdr:spPr>
    </xdr:pic>
    <xdr:clientData/>
  </xdr:twoCellAnchor>
  <xdr:twoCellAnchor>
    <xdr:from>
      <xdr:col>6</xdr:col>
      <xdr:colOff>112059</xdr:colOff>
      <xdr:row>3</xdr:row>
      <xdr:rowOff>89647</xdr:rowOff>
    </xdr:from>
    <xdr:to>
      <xdr:col>6</xdr:col>
      <xdr:colOff>1544948</xdr:colOff>
      <xdr:row>3</xdr:row>
      <xdr:rowOff>1624608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04EA77EC-59F7-43F8-A15B-EE5530391380}"/>
            </a:ext>
          </a:extLst>
        </xdr:cNvPr>
        <xdr:cNvGrpSpPr/>
      </xdr:nvGrpSpPr>
      <xdr:grpSpPr>
        <a:xfrm>
          <a:off x="10646709" y="1116442"/>
          <a:ext cx="1436699" cy="1538771"/>
          <a:chOff x="10568611" y="1102085"/>
          <a:chExt cx="1432889" cy="1534961"/>
        </a:xfrm>
      </xdr:grpSpPr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04804DD5-8CEE-22D3-3857-A733E7BAFB2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/>
          <a:stretch>
            <a:fillRect/>
          </a:stretch>
        </xdr:blipFill>
        <xdr:spPr>
          <a:xfrm>
            <a:off x="11297479" y="1995963"/>
            <a:ext cx="704021" cy="609594"/>
          </a:xfrm>
          <a:prstGeom prst="rect">
            <a:avLst/>
          </a:prstGeom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7EEA9AEE-E8ED-0534-A400-6F09DFE7B0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/>
          <a:stretch>
            <a:fillRect/>
          </a:stretch>
        </xdr:blipFill>
        <xdr:spPr>
          <a:xfrm>
            <a:off x="11254854" y="1170475"/>
            <a:ext cx="730872" cy="611148"/>
          </a:xfrm>
          <a:prstGeom prst="rect">
            <a:avLst/>
          </a:prstGeom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380EB4D6-3430-1CE6-1AAC-0F429D7181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/>
          <a:stretch>
            <a:fillRect/>
          </a:stretch>
        </xdr:blipFill>
        <xdr:spPr>
          <a:xfrm>
            <a:off x="10769009" y="1623186"/>
            <a:ext cx="674037" cy="548859"/>
          </a:xfrm>
          <a:prstGeom prst="rect">
            <a:avLst/>
          </a:prstGeom>
        </xdr:spPr>
      </xdr:pic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D5FCBEEA-C36B-C254-EDB4-3AB4D1F1C19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alphaModFix/>
          </a:blip>
          <a:stretch>
            <a:fillRect/>
          </a:stretch>
        </xdr:blipFill>
        <xdr:spPr>
          <a:xfrm>
            <a:off x="10568611" y="1102085"/>
            <a:ext cx="554934" cy="568147"/>
          </a:xfrm>
          <a:prstGeom prst="rect">
            <a:avLst/>
          </a:prstGeom>
        </xdr:spPr>
      </xdr:pic>
      <xdr:pic>
        <xdr:nvPicPr>
          <xdr:cNvPr id="32" name="Picture 31">
            <a:extLst>
              <a:ext uri="{FF2B5EF4-FFF2-40B4-BE49-F238E27FC236}">
                <a16:creationId xmlns:a16="http://schemas.microsoft.com/office/drawing/2014/main" id="{6C877227-70FB-F00E-092E-883A72157F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/>
          <a:stretch>
            <a:fillRect/>
          </a:stretch>
        </xdr:blipFill>
        <xdr:spPr>
          <a:xfrm>
            <a:off x="10576892" y="2087218"/>
            <a:ext cx="393074" cy="549828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125868</xdr:colOff>
      <xdr:row>3</xdr:row>
      <xdr:rowOff>78441</xdr:rowOff>
    </xdr:from>
    <xdr:to>
      <xdr:col>1</xdr:col>
      <xdr:colOff>1384526</xdr:colOff>
      <xdr:row>3</xdr:row>
      <xdr:rowOff>1520148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0BF71998-D3A3-4A9A-B2AD-641088AB8989}"/>
            </a:ext>
          </a:extLst>
        </xdr:cNvPr>
        <xdr:cNvGrpSpPr/>
      </xdr:nvGrpSpPr>
      <xdr:grpSpPr>
        <a:xfrm>
          <a:off x="2638563" y="1107141"/>
          <a:ext cx="1258658" cy="1441707"/>
          <a:chOff x="2631158" y="1087672"/>
          <a:chExt cx="1262468" cy="1424562"/>
        </a:xfrm>
      </xdr:grpSpPr>
      <xdr:pic>
        <xdr:nvPicPr>
          <xdr:cNvPr id="37" name="Picture 36">
            <a:extLst>
              <a:ext uri="{FF2B5EF4-FFF2-40B4-BE49-F238E27FC236}">
                <a16:creationId xmlns:a16="http://schemas.microsoft.com/office/drawing/2014/main" id="{B4D2FAB6-C002-BA26-EA53-385C09716A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/>
          <a:stretch>
            <a:fillRect/>
          </a:stretch>
        </xdr:blipFill>
        <xdr:spPr>
          <a:xfrm>
            <a:off x="2631158" y="1087672"/>
            <a:ext cx="1108898" cy="821922"/>
          </a:xfrm>
          <a:prstGeom prst="rect">
            <a:avLst/>
          </a:prstGeom>
        </xdr:spPr>
      </xdr:pic>
      <xdr:pic>
        <xdr:nvPicPr>
          <xdr:cNvPr id="38" name="Picture 37">
            <a:extLst>
              <a:ext uri="{FF2B5EF4-FFF2-40B4-BE49-F238E27FC236}">
                <a16:creationId xmlns:a16="http://schemas.microsoft.com/office/drawing/2014/main" id="{A86F63B1-9D75-0973-C307-FDC13339196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6206" t="-1" b="-392"/>
          <a:stretch/>
        </xdr:blipFill>
        <xdr:spPr>
          <a:xfrm rot="16200000">
            <a:off x="2988377" y="1787958"/>
            <a:ext cx="653557" cy="794995"/>
          </a:xfrm>
          <a:prstGeom prst="rect">
            <a:avLst/>
          </a:prstGeom>
        </xdr:spPr>
      </xdr:pic>
      <xdr:pic>
        <xdr:nvPicPr>
          <xdr:cNvPr id="39" name="Picture 38">
            <a:extLst>
              <a:ext uri="{FF2B5EF4-FFF2-40B4-BE49-F238E27FC236}">
                <a16:creationId xmlns:a16="http://schemas.microsoft.com/office/drawing/2014/main" id="{8CC9D50C-6DBE-6D50-B3FF-05EFDBE3B4B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43277" b="589"/>
          <a:stretch/>
        </xdr:blipFill>
        <xdr:spPr>
          <a:xfrm rot="16200000">
            <a:off x="3314924" y="1773330"/>
            <a:ext cx="851527" cy="305877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134471</xdr:colOff>
      <xdr:row>3</xdr:row>
      <xdr:rowOff>56030</xdr:rowOff>
    </xdr:from>
    <xdr:to>
      <xdr:col>4</xdr:col>
      <xdr:colOff>1610839</xdr:colOff>
      <xdr:row>3</xdr:row>
      <xdr:rowOff>1622401</xdr:rowOff>
    </xdr:to>
    <xdr:grpSp>
      <xdr:nvGrpSpPr>
        <xdr:cNvPr id="40" name="Group 39">
          <a:extLst>
            <a:ext uri="{FF2B5EF4-FFF2-40B4-BE49-F238E27FC236}">
              <a16:creationId xmlns:a16="http://schemas.microsoft.com/office/drawing/2014/main" id="{B7F0318C-3A91-4873-8805-51215E96F165}"/>
            </a:ext>
          </a:extLst>
        </xdr:cNvPr>
        <xdr:cNvGrpSpPr/>
      </xdr:nvGrpSpPr>
      <xdr:grpSpPr>
        <a:xfrm>
          <a:off x="7510631" y="1088540"/>
          <a:ext cx="1470653" cy="1566371"/>
          <a:chOff x="7305753" y="1085022"/>
          <a:chExt cx="1476368" cy="1566371"/>
        </a:xfrm>
      </xdr:grpSpPr>
      <xdr:pic>
        <xdr:nvPicPr>
          <xdr:cNvPr id="41" name="Picture 40">
            <a:extLst>
              <a:ext uri="{FF2B5EF4-FFF2-40B4-BE49-F238E27FC236}">
                <a16:creationId xmlns:a16="http://schemas.microsoft.com/office/drawing/2014/main" id="{656BC780-EE0E-546B-1959-EAA2D1390C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/>
          <a:stretch>
            <a:fillRect/>
          </a:stretch>
        </xdr:blipFill>
        <xdr:spPr>
          <a:xfrm>
            <a:off x="7348744" y="1085022"/>
            <a:ext cx="679171" cy="516163"/>
          </a:xfrm>
          <a:prstGeom prst="rect">
            <a:avLst/>
          </a:prstGeom>
        </xdr:spPr>
      </xdr:pic>
      <xdr:pic>
        <xdr:nvPicPr>
          <xdr:cNvPr id="42" name="Picture 41">
            <a:extLst>
              <a:ext uri="{FF2B5EF4-FFF2-40B4-BE49-F238E27FC236}">
                <a16:creationId xmlns:a16="http://schemas.microsoft.com/office/drawing/2014/main" id="{DF3565EE-4D46-B6AC-DAA8-3E60DE408E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/>
          <a:stretch>
            <a:fillRect/>
          </a:stretch>
        </xdr:blipFill>
        <xdr:spPr>
          <a:xfrm>
            <a:off x="7619588" y="2013571"/>
            <a:ext cx="605044" cy="331985"/>
          </a:xfrm>
          <a:prstGeom prst="rect">
            <a:avLst/>
          </a:prstGeom>
        </xdr:spPr>
      </xdr:pic>
      <xdr:pic>
        <xdr:nvPicPr>
          <xdr:cNvPr id="43" name="Picture 42">
            <a:extLst>
              <a:ext uri="{FF2B5EF4-FFF2-40B4-BE49-F238E27FC236}">
                <a16:creationId xmlns:a16="http://schemas.microsoft.com/office/drawing/2014/main" id="{0DDCF15C-7D47-37A4-186F-A446BE8875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/>
          <a:stretch>
            <a:fillRect/>
          </a:stretch>
        </xdr:blipFill>
        <xdr:spPr>
          <a:xfrm>
            <a:off x="7305753" y="1654024"/>
            <a:ext cx="993424" cy="394289"/>
          </a:xfrm>
          <a:prstGeom prst="rect">
            <a:avLst/>
          </a:prstGeom>
        </xdr:spPr>
      </xdr:pic>
      <xdr:pic>
        <xdr:nvPicPr>
          <xdr:cNvPr id="44" name="Picture 43">
            <a:extLst>
              <a:ext uri="{FF2B5EF4-FFF2-40B4-BE49-F238E27FC236}">
                <a16:creationId xmlns:a16="http://schemas.microsoft.com/office/drawing/2014/main" id="{0370BBF3-C750-53EF-8CDB-762FAD480E0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/>
          <a:stretch>
            <a:fillRect/>
          </a:stretch>
        </xdr:blipFill>
        <xdr:spPr>
          <a:xfrm>
            <a:off x="8122808" y="1126435"/>
            <a:ext cx="500949" cy="525097"/>
          </a:xfrm>
          <a:prstGeom prst="rect">
            <a:avLst/>
          </a:prstGeom>
        </xdr:spPr>
      </xdr:pic>
      <xdr:pic>
        <xdr:nvPicPr>
          <xdr:cNvPr id="45" name="Picture 44">
            <a:extLst>
              <a:ext uri="{FF2B5EF4-FFF2-40B4-BE49-F238E27FC236}">
                <a16:creationId xmlns:a16="http://schemas.microsoft.com/office/drawing/2014/main" id="{2AC90C8A-1E95-6250-D98D-F56963A9D1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/>
          <a:stretch>
            <a:fillRect/>
          </a:stretch>
        </xdr:blipFill>
        <xdr:spPr>
          <a:xfrm>
            <a:off x="7343749" y="2313771"/>
            <a:ext cx="1419251" cy="337622"/>
          </a:xfrm>
          <a:prstGeom prst="rect">
            <a:avLst/>
          </a:prstGeom>
        </xdr:spPr>
      </xdr:pic>
      <xdr:pic>
        <xdr:nvPicPr>
          <xdr:cNvPr id="46" name="Picture 45">
            <a:extLst>
              <a:ext uri="{FF2B5EF4-FFF2-40B4-BE49-F238E27FC236}">
                <a16:creationId xmlns:a16="http://schemas.microsoft.com/office/drawing/2014/main" id="{52506028-899E-A497-1B29-E47737B6B95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/>
          <a:stretch>
            <a:fillRect/>
          </a:stretch>
        </xdr:blipFill>
        <xdr:spPr>
          <a:xfrm>
            <a:off x="8341076" y="1731065"/>
            <a:ext cx="441045" cy="395194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163828</xdr:colOff>
      <xdr:row>3</xdr:row>
      <xdr:rowOff>73083</xdr:rowOff>
    </xdr:from>
    <xdr:to>
      <xdr:col>2</xdr:col>
      <xdr:colOff>1560582</xdr:colOff>
      <xdr:row>3</xdr:row>
      <xdr:rowOff>1673434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E3A12251-43B1-4FEF-B4B0-F8F5E6707D2D}"/>
            </a:ext>
          </a:extLst>
        </xdr:cNvPr>
        <xdr:cNvGrpSpPr/>
      </xdr:nvGrpSpPr>
      <xdr:grpSpPr>
        <a:xfrm>
          <a:off x="4181473" y="1101783"/>
          <a:ext cx="1398659" cy="1600351"/>
          <a:chOff x="4183174" y="1052295"/>
          <a:chExt cx="1383419" cy="1577491"/>
        </a:xfrm>
      </xdr:grpSpPr>
      <xdr:pic>
        <xdr:nvPicPr>
          <xdr:cNvPr id="48" name="Picture 47">
            <a:extLst>
              <a:ext uri="{FF2B5EF4-FFF2-40B4-BE49-F238E27FC236}">
                <a16:creationId xmlns:a16="http://schemas.microsoft.com/office/drawing/2014/main" id="{8D20C75A-259D-3712-6C4D-76B9494642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/>
          <a:stretch>
            <a:fillRect/>
          </a:stretch>
        </xdr:blipFill>
        <xdr:spPr>
          <a:xfrm>
            <a:off x="4815149" y="2123488"/>
            <a:ext cx="674779" cy="506298"/>
          </a:xfrm>
          <a:prstGeom prst="rect">
            <a:avLst/>
          </a:prstGeom>
        </xdr:spPr>
      </xdr:pic>
      <xdr:grpSp>
        <xdr:nvGrpSpPr>
          <xdr:cNvPr id="49" name="Group 48">
            <a:extLst>
              <a:ext uri="{FF2B5EF4-FFF2-40B4-BE49-F238E27FC236}">
                <a16:creationId xmlns:a16="http://schemas.microsoft.com/office/drawing/2014/main" id="{E617A760-99AD-8E9A-5569-FAAD2D7B4492}"/>
              </a:ext>
            </a:extLst>
          </xdr:cNvPr>
          <xdr:cNvGrpSpPr/>
        </xdr:nvGrpSpPr>
        <xdr:grpSpPr>
          <a:xfrm>
            <a:off x="4181269" y="1050390"/>
            <a:ext cx="1389134" cy="1217653"/>
            <a:chOff x="4225443" y="1019422"/>
            <a:chExt cx="1286374" cy="1133712"/>
          </a:xfrm>
        </xdr:grpSpPr>
        <xdr:pic>
          <xdr:nvPicPr>
            <xdr:cNvPr id="50" name="Picture 49">
              <a:extLst>
                <a:ext uri="{FF2B5EF4-FFF2-40B4-BE49-F238E27FC236}">
                  <a16:creationId xmlns:a16="http://schemas.microsoft.com/office/drawing/2014/main" id="{E18FCA18-0C37-EF8A-032F-5FA38F5D937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1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tretch>
              <a:fillRect/>
            </a:stretch>
          </xdr:blipFill>
          <xdr:spPr>
            <a:xfrm>
              <a:off x="4663859" y="1417592"/>
              <a:ext cx="795706" cy="489479"/>
            </a:xfrm>
            <a:prstGeom prst="rect">
              <a:avLst/>
            </a:prstGeom>
          </xdr:spPr>
        </xdr:pic>
        <xdr:pic>
          <xdr:nvPicPr>
            <xdr:cNvPr id="51" name="Picture 50">
              <a:extLst>
                <a:ext uri="{FF2B5EF4-FFF2-40B4-BE49-F238E27FC236}">
                  <a16:creationId xmlns:a16="http://schemas.microsoft.com/office/drawing/2014/main" id="{69C6DBBF-0112-61FC-BB8E-BB055BE1D60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2">
              <a:clrChange>
                <a:clrFrom>
                  <a:srgbClr val="FEFEFE"/>
                </a:clrFrom>
                <a:clrTo>
                  <a:srgbClr val="FEFEFE">
                    <a:alpha val="0"/>
                  </a:srgbClr>
                </a:clrTo>
              </a:clrChange>
            </a:blip>
            <a:stretch>
              <a:fillRect/>
            </a:stretch>
          </xdr:blipFill>
          <xdr:spPr>
            <a:xfrm>
              <a:off x="4225443" y="1764197"/>
              <a:ext cx="766986" cy="388937"/>
            </a:xfrm>
            <a:prstGeom prst="rect">
              <a:avLst/>
            </a:prstGeom>
          </xdr:spPr>
        </xdr:pic>
        <xdr:pic>
          <xdr:nvPicPr>
            <xdr:cNvPr id="52" name="Picture 51">
              <a:extLst>
                <a:ext uri="{FF2B5EF4-FFF2-40B4-BE49-F238E27FC236}">
                  <a16:creationId xmlns:a16="http://schemas.microsoft.com/office/drawing/2014/main" id="{429B9B90-DE7A-0335-8A7C-92192729602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3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tretch>
              <a:fillRect/>
            </a:stretch>
          </xdr:blipFill>
          <xdr:spPr>
            <a:xfrm rot="6649108">
              <a:off x="4142473" y="1275178"/>
              <a:ext cx="807147" cy="316217"/>
            </a:xfrm>
            <a:prstGeom prst="rect">
              <a:avLst/>
            </a:prstGeom>
          </xdr:spPr>
        </xdr:pic>
        <xdr:pic>
          <xdr:nvPicPr>
            <xdr:cNvPr id="53" name="Picture 52">
              <a:extLst>
                <a:ext uri="{FF2B5EF4-FFF2-40B4-BE49-F238E27FC236}">
                  <a16:creationId xmlns:a16="http://schemas.microsoft.com/office/drawing/2014/main" id="{DAD6D923-035D-C7BD-CC1F-4F655136A2A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4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tretch>
              <a:fillRect/>
            </a:stretch>
          </xdr:blipFill>
          <xdr:spPr>
            <a:xfrm>
              <a:off x="4917458" y="1019422"/>
              <a:ext cx="594359" cy="488528"/>
            </a:xfrm>
            <a:prstGeom prst="rect">
              <a:avLst/>
            </a:prstGeom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65835</xdr:colOff>
      <xdr:row>3</xdr:row>
      <xdr:rowOff>320067</xdr:rowOff>
    </xdr:from>
    <xdr:to>
      <xdr:col>10</xdr:col>
      <xdr:colOff>832</xdr:colOff>
      <xdr:row>3</xdr:row>
      <xdr:rowOff>1527304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07" r="7869"/>
        <a:stretch/>
      </xdr:blipFill>
      <xdr:spPr>
        <a:xfrm>
          <a:off x="12174491" y="1320192"/>
          <a:ext cx="1365924" cy="1211047"/>
        </a:xfrm>
        <a:prstGeom prst="rect">
          <a:avLst/>
        </a:prstGeom>
      </xdr:spPr>
    </xdr:pic>
    <xdr:clientData/>
  </xdr:twoCellAnchor>
  <xdr:twoCellAnchor editAs="oneCell">
    <xdr:from>
      <xdr:col>10</xdr:col>
      <xdr:colOff>196102</xdr:colOff>
      <xdr:row>3</xdr:row>
      <xdr:rowOff>297655</xdr:rowOff>
    </xdr:from>
    <xdr:to>
      <xdr:col>10</xdr:col>
      <xdr:colOff>1414266</xdr:colOff>
      <xdr:row>3</xdr:row>
      <xdr:rowOff>1527808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61" r="7155"/>
        <a:stretch/>
      </xdr:blipFill>
      <xdr:spPr>
        <a:xfrm>
          <a:off x="13852571" y="1297780"/>
          <a:ext cx="1226344" cy="1232058"/>
        </a:xfrm>
        <a:prstGeom prst="rect">
          <a:avLst/>
        </a:prstGeom>
      </xdr:spPr>
    </xdr:pic>
    <xdr:clientData/>
  </xdr:twoCellAnchor>
  <xdr:twoCellAnchor editAs="oneCell">
    <xdr:from>
      <xdr:col>3</xdr:col>
      <xdr:colOff>395565</xdr:colOff>
      <xdr:row>3</xdr:row>
      <xdr:rowOff>781612</xdr:rowOff>
    </xdr:from>
    <xdr:to>
      <xdr:col>3</xdr:col>
      <xdr:colOff>1520946</xdr:colOff>
      <xdr:row>3</xdr:row>
      <xdr:rowOff>1672836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034" y="1781737"/>
          <a:ext cx="1126333" cy="887414"/>
        </a:xfrm>
        <a:prstGeom prst="rect">
          <a:avLst/>
        </a:prstGeom>
      </xdr:spPr>
    </xdr:pic>
    <xdr:clientData/>
  </xdr:twoCellAnchor>
  <xdr:twoCellAnchor editAs="oneCell">
    <xdr:from>
      <xdr:col>5</xdr:col>
      <xdr:colOff>785951</xdr:colOff>
      <xdr:row>3</xdr:row>
      <xdr:rowOff>794185</xdr:rowOff>
    </xdr:from>
    <xdr:to>
      <xdr:col>5</xdr:col>
      <xdr:colOff>1520480</xdr:colOff>
      <xdr:row>3</xdr:row>
      <xdr:rowOff>1406839</xdr:rowOff>
    </xdr:to>
    <xdr:pic>
      <xdr:nvPicPr>
        <xdr:cNvPr id="13" name="Picture 12" descr="IMG_1092.jp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r="9774" b="9883"/>
        <a:stretch>
          <a:fillRect/>
        </a:stretch>
      </xdr:blipFill>
      <xdr:spPr>
        <a:xfrm>
          <a:off x="7856863" y="1791509"/>
          <a:ext cx="719289" cy="601224"/>
        </a:xfrm>
        <a:prstGeom prst="rect">
          <a:avLst/>
        </a:prstGeom>
      </xdr:spPr>
    </xdr:pic>
    <xdr:clientData/>
  </xdr:twoCellAnchor>
  <xdr:twoCellAnchor editAs="oneCell">
    <xdr:from>
      <xdr:col>5</xdr:col>
      <xdr:colOff>194000</xdr:colOff>
      <xdr:row>3</xdr:row>
      <xdr:rowOff>630463</xdr:rowOff>
    </xdr:from>
    <xdr:to>
      <xdr:col>5</xdr:col>
      <xdr:colOff>987433</xdr:colOff>
      <xdr:row>3</xdr:row>
      <xdr:rowOff>1375913</xdr:rowOff>
    </xdr:to>
    <xdr:pic>
      <xdr:nvPicPr>
        <xdr:cNvPr id="14" name="Picture 13" descr="ph.jp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 l="15474"/>
        <a:stretch>
          <a:fillRect/>
        </a:stretch>
      </xdr:blipFill>
      <xdr:spPr>
        <a:xfrm>
          <a:off x="7264912" y="1627787"/>
          <a:ext cx="785813" cy="749260"/>
        </a:xfrm>
        <a:prstGeom prst="rect">
          <a:avLst/>
        </a:prstGeom>
      </xdr:spPr>
    </xdr:pic>
    <xdr:clientData/>
  </xdr:twoCellAnchor>
  <xdr:twoCellAnchor editAs="oneCell">
    <xdr:from>
      <xdr:col>12</xdr:col>
      <xdr:colOff>84045</xdr:colOff>
      <xdr:row>3</xdr:row>
      <xdr:rowOff>269682</xdr:rowOff>
    </xdr:from>
    <xdr:to>
      <xdr:col>12</xdr:col>
      <xdr:colOff>1396198</xdr:colOff>
      <xdr:row>3</xdr:row>
      <xdr:rowOff>1443457</xdr:rowOff>
    </xdr:to>
    <xdr:pic>
      <xdr:nvPicPr>
        <xdr:cNvPr id="16" name="Picture 15" descr="Lbdc_biochem_L_View.jp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9638310" y="1267006"/>
          <a:ext cx="1308343" cy="1173775"/>
        </a:xfrm>
        <a:prstGeom prst="rect">
          <a:avLst/>
        </a:prstGeom>
      </xdr:spPr>
    </xdr:pic>
    <xdr:clientData/>
  </xdr:twoCellAnchor>
  <xdr:twoCellAnchor editAs="oneCell">
    <xdr:from>
      <xdr:col>11</xdr:col>
      <xdr:colOff>119063</xdr:colOff>
      <xdr:row>3</xdr:row>
      <xdr:rowOff>369794</xdr:rowOff>
    </xdr:from>
    <xdr:to>
      <xdr:col>11</xdr:col>
      <xdr:colOff>1376864</xdr:colOff>
      <xdr:row>3</xdr:row>
      <xdr:rowOff>1482090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6" r="7714"/>
        <a:stretch/>
      </xdr:blipFill>
      <xdr:spPr>
        <a:xfrm>
          <a:off x="18182945" y="1367118"/>
          <a:ext cx="1259706" cy="1112296"/>
        </a:xfrm>
        <a:prstGeom prst="rect">
          <a:avLst/>
        </a:prstGeom>
      </xdr:spPr>
    </xdr:pic>
    <xdr:clientData/>
  </xdr:twoCellAnchor>
  <xdr:twoCellAnchor>
    <xdr:from>
      <xdr:col>7</xdr:col>
      <xdr:colOff>130969</xdr:colOff>
      <xdr:row>3</xdr:row>
      <xdr:rowOff>107155</xdr:rowOff>
    </xdr:from>
    <xdr:to>
      <xdr:col>7</xdr:col>
      <xdr:colOff>1488281</xdr:colOff>
      <xdr:row>3</xdr:row>
      <xdr:rowOff>1463660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pSpPr/>
      </xdr:nvGrpSpPr>
      <xdr:grpSpPr>
        <a:xfrm>
          <a:off x="12151607" y="1116301"/>
          <a:ext cx="1353502" cy="1358410"/>
          <a:chOff x="0" y="0"/>
          <a:chExt cx="4295775" cy="3543300"/>
        </a:xfrm>
      </xdr:grpSpPr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725" y="1162050"/>
            <a:ext cx="2000250" cy="962025"/>
          </a:xfrm>
          <a:prstGeom prst="rect">
            <a:avLst/>
          </a:prstGeom>
        </xdr:spPr>
      </xdr:pic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19225" y="771525"/>
            <a:ext cx="2876550" cy="1390650"/>
          </a:xfrm>
          <a:prstGeom prst="rect">
            <a:avLst/>
          </a:prstGeom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19225" y="0"/>
            <a:ext cx="1952625" cy="942975"/>
          </a:xfrm>
          <a:prstGeom prst="rect">
            <a:avLst/>
          </a:prstGeom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581025"/>
            <a:ext cx="1419225" cy="685800"/>
          </a:xfrm>
          <a:prstGeom prst="rect">
            <a:avLst/>
          </a:prstGeom>
        </xdr:spPr>
      </xdr:pic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0909" r="30546"/>
          <a:stretch/>
        </xdr:blipFill>
        <xdr:spPr bwMode="auto">
          <a:xfrm>
            <a:off x="2533650" y="2019300"/>
            <a:ext cx="1009650" cy="126682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2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2295525"/>
            <a:ext cx="2581275" cy="1247775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83344</xdr:colOff>
      <xdr:row>3</xdr:row>
      <xdr:rowOff>225201</xdr:rowOff>
    </xdr:from>
    <xdr:to>
      <xdr:col>8</xdr:col>
      <xdr:colOff>1557338</xdr:colOff>
      <xdr:row>3</xdr:row>
      <xdr:rowOff>1527335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9688" y="1225326"/>
          <a:ext cx="1464469" cy="1305944"/>
        </a:xfrm>
        <a:prstGeom prst="rect">
          <a:avLst/>
        </a:prstGeom>
      </xdr:spPr>
    </xdr:pic>
    <xdr:clientData/>
  </xdr:twoCellAnchor>
  <xdr:twoCellAnchor editAs="oneCell">
    <xdr:from>
      <xdr:col>1</xdr:col>
      <xdr:colOff>455164</xdr:colOff>
      <xdr:row>3</xdr:row>
      <xdr:rowOff>841330</xdr:rowOff>
    </xdr:from>
    <xdr:to>
      <xdr:col>1</xdr:col>
      <xdr:colOff>1253969</xdr:colOff>
      <xdr:row>3</xdr:row>
      <xdr:rowOff>1489172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206" t="-1" b="-392"/>
        <a:stretch/>
      </xdr:blipFill>
      <xdr:spPr>
        <a:xfrm rot="16200000">
          <a:off x="3044370" y="1773089"/>
          <a:ext cx="647842" cy="798805"/>
        </a:xfrm>
        <a:prstGeom prst="rect">
          <a:avLst/>
        </a:prstGeom>
      </xdr:spPr>
    </xdr:pic>
    <xdr:clientData/>
  </xdr:twoCellAnchor>
  <xdr:twoCellAnchor editAs="oneCell">
    <xdr:from>
      <xdr:col>1</xdr:col>
      <xdr:colOff>1125255</xdr:colOff>
      <xdr:row>3</xdr:row>
      <xdr:rowOff>485063</xdr:rowOff>
    </xdr:from>
    <xdr:to>
      <xdr:col>1</xdr:col>
      <xdr:colOff>1444467</xdr:colOff>
      <xdr:row>3</xdr:row>
      <xdr:rowOff>1336590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3277" b="589"/>
        <a:stretch/>
      </xdr:blipFill>
      <xdr:spPr>
        <a:xfrm rot="16200000">
          <a:off x="3364649" y="1758013"/>
          <a:ext cx="851527" cy="305877"/>
        </a:xfrm>
        <a:prstGeom prst="rect">
          <a:avLst/>
        </a:prstGeom>
      </xdr:spPr>
    </xdr:pic>
    <xdr:clientData/>
  </xdr:twoCellAnchor>
  <xdr:twoCellAnchor editAs="oneCell">
    <xdr:from>
      <xdr:col>5</xdr:col>
      <xdr:colOff>583407</xdr:colOff>
      <xdr:row>3</xdr:row>
      <xdr:rowOff>23812</xdr:rowOff>
    </xdr:from>
    <xdr:to>
      <xdr:col>5</xdr:col>
      <xdr:colOff>1557338</xdr:colOff>
      <xdr:row>3</xdr:row>
      <xdr:rowOff>988218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40B55A9-DF38-4B62-AAD5-C65D845FC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7438" y="1023937"/>
          <a:ext cx="964406" cy="964406"/>
        </a:xfrm>
        <a:prstGeom prst="rect">
          <a:avLst/>
        </a:prstGeom>
      </xdr:spPr>
    </xdr:pic>
    <xdr:clientData/>
  </xdr:twoCellAnchor>
  <xdr:twoCellAnchor editAs="oneCell">
    <xdr:from>
      <xdr:col>3</xdr:col>
      <xdr:colOff>147163</xdr:colOff>
      <xdr:row>3</xdr:row>
      <xdr:rowOff>4811</xdr:rowOff>
    </xdr:from>
    <xdr:to>
      <xdr:col>3</xdr:col>
      <xdr:colOff>1215391</xdr:colOff>
      <xdr:row>3</xdr:row>
      <xdr:rowOff>1063088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EA9E735-50EB-48B1-8C64-325EE4047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8813" y="1004936"/>
          <a:ext cx="1064418" cy="1039227"/>
        </a:xfrm>
        <a:prstGeom prst="rect">
          <a:avLst/>
        </a:prstGeom>
      </xdr:spPr>
    </xdr:pic>
    <xdr:clientData/>
  </xdr:twoCellAnchor>
  <xdr:twoCellAnchor editAs="oneCell">
    <xdr:from>
      <xdr:col>1</xdr:col>
      <xdr:colOff>150496</xdr:colOff>
      <xdr:row>3</xdr:row>
      <xdr:rowOff>145660</xdr:rowOff>
    </xdr:from>
    <xdr:to>
      <xdr:col>1</xdr:col>
      <xdr:colOff>1177290</xdr:colOff>
      <xdr:row>3</xdr:row>
      <xdr:rowOff>874682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B87202C-6A0D-963A-C5DF-99C25987C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665096" y="1145785"/>
          <a:ext cx="1009649" cy="729022"/>
        </a:xfrm>
        <a:prstGeom prst="rect">
          <a:avLst/>
        </a:prstGeom>
      </xdr:spPr>
    </xdr:pic>
    <xdr:clientData/>
  </xdr:twoCellAnchor>
  <xdr:twoCellAnchor>
    <xdr:from>
      <xdr:col>2</xdr:col>
      <xdr:colOff>49105</xdr:colOff>
      <xdr:row>3</xdr:row>
      <xdr:rowOff>45054</xdr:rowOff>
    </xdr:from>
    <xdr:to>
      <xdr:col>2</xdr:col>
      <xdr:colOff>1432524</xdr:colOff>
      <xdr:row>3</xdr:row>
      <xdr:rowOff>1622545</xdr:rowOff>
    </xdr:to>
    <xdr:grpSp>
      <xdr:nvGrpSpPr>
        <xdr:cNvPr id="55" name="Group 54">
          <a:extLst>
            <a:ext uri="{FF2B5EF4-FFF2-40B4-BE49-F238E27FC236}">
              <a16:creationId xmlns:a16="http://schemas.microsoft.com/office/drawing/2014/main" id="{C9CCC103-125B-108F-844B-9C73C85CE3F6}"/>
            </a:ext>
          </a:extLst>
        </xdr:cNvPr>
        <xdr:cNvGrpSpPr/>
      </xdr:nvGrpSpPr>
      <xdr:grpSpPr>
        <a:xfrm>
          <a:off x="4181269" y="1050390"/>
          <a:ext cx="1389134" cy="1583206"/>
          <a:chOff x="4183174" y="1052295"/>
          <a:chExt cx="1383419" cy="1577491"/>
        </a:xfrm>
      </xdr:grpSpPr>
      <xdr:pic>
        <xdr:nvPicPr>
          <xdr:cNvPr id="54" name="Picture 53">
            <a:extLst>
              <a:ext uri="{FF2B5EF4-FFF2-40B4-BE49-F238E27FC236}">
                <a16:creationId xmlns:a16="http://schemas.microsoft.com/office/drawing/2014/main" id="{FA4DAA6F-8F99-63D4-8552-85442F5A5D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/>
          <a:stretch>
            <a:fillRect/>
          </a:stretch>
        </xdr:blipFill>
        <xdr:spPr>
          <a:xfrm>
            <a:off x="4815149" y="2123488"/>
            <a:ext cx="674779" cy="506298"/>
          </a:xfrm>
          <a:prstGeom prst="rect">
            <a:avLst/>
          </a:prstGeom>
        </xdr:spPr>
      </xdr:pic>
      <xdr:grpSp>
        <xdr:nvGrpSpPr>
          <xdr:cNvPr id="38" name="Group 37">
            <a:extLst>
              <a:ext uri="{FF2B5EF4-FFF2-40B4-BE49-F238E27FC236}">
                <a16:creationId xmlns:a16="http://schemas.microsoft.com/office/drawing/2014/main" id="{1E0518A4-C0CB-403D-D27E-F2D9E4D1BA7C}"/>
              </a:ext>
            </a:extLst>
          </xdr:cNvPr>
          <xdr:cNvGrpSpPr/>
        </xdr:nvGrpSpPr>
        <xdr:grpSpPr>
          <a:xfrm>
            <a:off x="4181269" y="1050390"/>
            <a:ext cx="1389134" cy="1217653"/>
            <a:chOff x="4225443" y="1019422"/>
            <a:chExt cx="1286374" cy="1133712"/>
          </a:xfrm>
        </xdr:grpSpPr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8BC0072E-6D4B-B263-68CA-32D6A7C878B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tretch>
              <a:fillRect/>
            </a:stretch>
          </xdr:blipFill>
          <xdr:spPr>
            <a:xfrm>
              <a:off x="4663859" y="1417592"/>
              <a:ext cx="795706" cy="489479"/>
            </a:xfrm>
            <a:prstGeom prst="rect">
              <a:avLst/>
            </a:prstGeom>
          </xdr:spPr>
        </xdr:pic>
        <xdr:pic>
          <xdr:nvPicPr>
            <xdr:cNvPr id="9" name="Picture 8">
              <a:extLst>
                <a:ext uri="{FF2B5EF4-FFF2-40B4-BE49-F238E27FC236}">
                  <a16:creationId xmlns:a16="http://schemas.microsoft.com/office/drawing/2014/main" id="{6CD39368-764A-CA12-7094-B33BC6527B1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1">
              <a:clrChange>
                <a:clrFrom>
                  <a:srgbClr val="FEFEFE"/>
                </a:clrFrom>
                <a:clrTo>
                  <a:srgbClr val="FEFEFE">
                    <a:alpha val="0"/>
                  </a:srgbClr>
                </a:clrTo>
              </a:clrChange>
            </a:blip>
            <a:stretch>
              <a:fillRect/>
            </a:stretch>
          </xdr:blipFill>
          <xdr:spPr>
            <a:xfrm>
              <a:off x="4225443" y="1764197"/>
              <a:ext cx="766986" cy="388937"/>
            </a:xfrm>
            <a:prstGeom prst="rect">
              <a:avLst/>
            </a:prstGeom>
          </xdr:spPr>
        </xdr:pic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B4B6486-B9AC-3B8A-8BEC-6D22642624E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tretch>
              <a:fillRect/>
            </a:stretch>
          </xdr:blipFill>
          <xdr:spPr>
            <a:xfrm rot="6649108">
              <a:off x="4142473" y="1275178"/>
              <a:ext cx="807147" cy="316217"/>
            </a:xfrm>
            <a:prstGeom prst="rect">
              <a:avLst/>
            </a:prstGeom>
          </xdr:spPr>
        </xdr:pic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B54EDB82-4D85-BB1F-81C6-2E89CA794D1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3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tretch>
              <a:fillRect/>
            </a:stretch>
          </xdr:blipFill>
          <xdr:spPr>
            <a:xfrm>
              <a:off x="4917458" y="1019422"/>
              <a:ext cx="594359" cy="488528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4</xdr:col>
      <xdr:colOff>83318</xdr:colOff>
      <xdr:row>3</xdr:row>
      <xdr:rowOff>82826</xdr:rowOff>
    </xdr:from>
    <xdr:to>
      <xdr:col>4</xdr:col>
      <xdr:colOff>1559686</xdr:colOff>
      <xdr:row>3</xdr:row>
      <xdr:rowOff>1649197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D40C22C3-DE8D-FFD6-34CF-42ECF3EB8A13}"/>
            </a:ext>
          </a:extLst>
        </xdr:cNvPr>
        <xdr:cNvGrpSpPr/>
      </xdr:nvGrpSpPr>
      <xdr:grpSpPr>
        <a:xfrm>
          <a:off x="7289758" y="1088162"/>
          <a:ext cx="1478273" cy="1566371"/>
          <a:chOff x="7305753" y="1085022"/>
          <a:chExt cx="1476368" cy="1566371"/>
        </a:xfrm>
      </xdr:grpSpPr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AD60217F-43B4-EA71-2DDF-1DC36245A5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/>
          <a:stretch>
            <a:fillRect/>
          </a:stretch>
        </xdr:blipFill>
        <xdr:spPr>
          <a:xfrm>
            <a:off x="7348744" y="1085022"/>
            <a:ext cx="679171" cy="516163"/>
          </a:xfrm>
          <a:prstGeom prst="rect">
            <a:avLst/>
          </a:prstGeom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2BEDFB05-6DAA-106F-1512-FB7FD95FC1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/>
          <a:stretch>
            <a:fillRect/>
          </a:stretch>
        </xdr:blipFill>
        <xdr:spPr>
          <a:xfrm>
            <a:off x="7619588" y="2013571"/>
            <a:ext cx="605044" cy="331985"/>
          </a:xfrm>
          <a:prstGeom prst="rect">
            <a:avLst/>
          </a:prstGeom>
        </xdr:spPr>
      </xdr:pic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DA439DBD-E123-A0D2-8E20-E7A7C91951E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/>
          <a:stretch>
            <a:fillRect/>
          </a:stretch>
        </xdr:blipFill>
        <xdr:spPr>
          <a:xfrm>
            <a:off x="7305753" y="1654024"/>
            <a:ext cx="993424" cy="394289"/>
          </a:xfrm>
          <a:prstGeom prst="rect">
            <a:avLst/>
          </a:prstGeom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F5314047-6814-8769-5834-321D21842C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/>
          <a:stretch>
            <a:fillRect/>
          </a:stretch>
        </xdr:blipFill>
        <xdr:spPr>
          <a:xfrm>
            <a:off x="8122808" y="1126435"/>
            <a:ext cx="500949" cy="525097"/>
          </a:xfrm>
          <a:prstGeom prst="rect">
            <a:avLst/>
          </a:prstGeom>
        </xdr:spPr>
      </xdr:pic>
      <xdr:pic>
        <xdr:nvPicPr>
          <xdr:cNvPr id="36" name="Picture 35">
            <a:extLst>
              <a:ext uri="{FF2B5EF4-FFF2-40B4-BE49-F238E27FC236}">
                <a16:creationId xmlns:a16="http://schemas.microsoft.com/office/drawing/2014/main" id="{4ECA426E-2120-E42C-7DB7-2D49AEAE89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/>
          <a:stretch>
            <a:fillRect/>
          </a:stretch>
        </xdr:blipFill>
        <xdr:spPr>
          <a:xfrm>
            <a:off x="7343749" y="2313771"/>
            <a:ext cx="1419251" cy="337622"/>
          </a:xfrm>
          <a:prstGeom prst="rect">
            <a:avLst/>
          </a:prstGeom>
        </xdr:spPr>
      </xdr:pic>
      <xdr:pic>
        <xdr:nvPicPr>
          <xdr:cNvPr id="37" name="Picture 36">
            <a:extLst>
              <a:ext uri="{FF2B5EF4-FFF2-40B4-BE49-F238E27FC236}">
                <a16:creationId xmlns:a16="http://schemas.microsoft.com/office/drawing/2014/main" id="{E1C8F856-783B-ED43-49E8-D3A5DB00D1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/>
          <a:stretch>
            <a:fillRect/>
          </a:stretch>
        </xdr:blipFill>
        <xdr:spPr>
          <a:xfrm>
            <a:off x="8341076" y="1731065"/>
            <a:ext cx="441045" cy="3951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82828</xdr:colOff>
      <xdr:row>3</xdr:row>
      <xdr:rowOff>99889</xdr:rowOff>
    </xdr:from>
    <xdr:to>
      <xdr:col>6</xdr:col>
      <xdr:colOff>1515717</xdr:colOff>
      <xdr:row>3</xdr:row>
      <xdr:rowOff>1634850</xdr:rowOff>
    </xdr:to>
    <xdr:grpSp>
      <xdr:nvGrpSpPr>
        <xdr:cNvPr id="44" name="Group 43">
          <a:extLst>
            <a:ext uri="{FF2B5EF4-FFF2-40B4-BE49-F238E27FC236}">
              <a16:creationId xmlns:a16="http://schemas.microsoft.com/office/drawing/2014/main" id="{691733C8-7849-55B6-119C-0449D473A253}"/>
            </a:ext>
          </a:extLst>
        </xdr:cNvPr>
        <xdr:cNvGrpSpPr/>
      </xdr:nvGrpSpPr>
      <xdr:grpSpPr>
        <a:xfrm>
          <a:off x="10547475" y="1110940"/>
          <a:ext cx="1436699" cy="1531151"/>
          <a:chOff x="10568611" y="1102085"/>
          <a:chExt cx="1432889" cy="1534961"/>
        </a:xfrm>
      </xdr:grpSpPr>
      <xdr:pic>
        <xdr:nvPicPr>
          <xdr:cNvPr id="39" name="Picture 38">
            <a:extLst>
              <a:ext uri="{FF2B5EF4-FFF2-40B4-BE49-F238E27FC236}">
                <a16:creationId xmlns:a16="http://schemas.microsoft.com/office/drawing/2014/main" id="{6E69293A-BE7D-66B9-7D76-4B56614766E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/>
          <a:stretch>
            <a:fillRect/>
          </a:stretch>
        </xdr:blipFill>
        <xdr:spPr>
          <a:xfrm>
            <a:off x="11297479" y="1995963"/>
            <a:ext cx="704021" cy="609594"/>
          </a:xfrm>
          <a:prstGeom prst="rect">
            <a:avLst/>
          </a:prstGeom>
        </xdr:spPr>
      </xdr:pic>
      <xdr:pic>
        <xdr:nvPicPr>
          <xdr:cNvPr id="43" name="Picture 42">
            <a:extLst>
              <a:ext uri="{FF2B5EF4-FFF2-40B4-BE49-F238E27FC236}">
                <a16:creationId xmlns:a16="http://schemas.microsoft.com/office/drawing/2014/main" id="{C366CAC6-C67E-7ACC-0493-0EAA011412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/>
          <a:stretch>
            <a:fillRect/>
          </a:stretch>
        </xdr:blipFill>
        <xdr:spPr>
          <a:xfrm>
            <a:off x="11254854" y="1170475"/>
            <a:ext cx="730872" cy="611148"/>
          </a:xfrm>
          <a:prstGeom prst="rect">
            <a:avLst/>
          </a:prstGeom>
        </xdr:spPr>
      </xdr:pic>
      <xdr:pic>
        <xdr:nvPicPr>
          <xdr:cNvPr id="40" name="Picture 39">
            <a:extLst>
              <a:ext uri="{FF2B5EF4-FFF2-40B4-BE49-F238E27FC236}">
                <a16:creationId xmlns:a16="http://schemas.microsoft.com/office/drawing/2014/main" id="{E9D89EFF-E352-BADB-79C0-5ABBDC800D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/>
          <a:stretch>
            <a:fillRect/>
          </a:stretch>
        </xdr:blipFill>
        <xdr:spPr>
          <a:xfrm>
            <a:off x="10769009" y="1623186"/>
            <a:ext cx="674037" cy="548859"/>
          </a:xfrm>
          <a:prstGeom prst="rect">
            <a:avLst/>
          </a:prstGeom>
        </xdr:spPr>
      </xdr:pic>
      <xdr:pic>
        <xdr:nvPicPr>
          <xdr:cNvPr id="42" name="Picture 41">
            <a:extLst>
              <a:ext uri="{FF2B5EF4-FFF2-40B4-BE49-F238E27FC236}">
                <a16:creationId xmlns:a16="http://schemas.microsoft.com/office/drawing/2014/main" id="{1537C6AC-D76F-F6C9-22FF-1F092BD200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>
            <a:alphaModFix/>
          </a:blip>
          <a:stretch>
            <a:fillRect/>
          </a:stretch>
        </xdr:blipFill>
        <xdr:spPr>
          <a:xfrm>
            <a:off x="10568611" y="1102085"/>
            <a:ext cx="554934" cy="568147"/>
          </a:xfrm>
          <a:prstGeom prst="rect">
            <a:avLst/>
          </a:prstGeom>
        </xdr:spPr>
      </xdr:pic>
      <xdr:pic>
        <xdr:nvPicPr>
          <xdr:cNvPr id="41" name="Picture 40">
            <a:extLst>
              <a:ext uri="{FF2B5EF4-FFF2-40B4-BE49-F238E27FC236}">
                <a16:creationId xmlns:a16="http://schemas.microsoft.com/office/drawing/2014/main" id="{95F25521-F2C1-ADA4-0EAB-A290F3E9D7C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/>
          <a:stretch>
            <a:fillRect/>
          </a:stretch>
        </xdr:blipFill>
        <xdr:spPr>
          <a:xfrm>
            <a:off x="10576892" y="2087218"/>
            <a:ext cx="393074" cy="54982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ser\Documents\Globisense\Projects\LabDisc%20-%20all-in-one%20wireless%20Lab\Documents%20and%20Settings\amiad\Local%20Settings\Temporary%20Internet%20Files\Content.IE5\6KKRVT74\CshFlw05-Feb05-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T-SHL-QTRLY"/>
      <sheetName val="STMT-SHL-MTHLY"/>
      <sheetName val="STMT-RMC"/>
      <sheetName val="STMT-SHL"/>
      <sheetName val="STMT-CRCS"/>
      <sheetName val="STMT-RCS-ELIM"/>
      <sheetName val="STMT-RCS"/>
      <sheetName val="STMT-CES"/>
      <sheetName val="STMT-RDS"/>
      <sheetName val="STMT-CONSOL-SHL"/>
      <sheetName val="STMT-CONSOL-OTHR"/>
      <sheetName val="STMT-CONSOL-RCS"/>
      <sheetName val="STMT-CONSOL-RDS"/>
      <sheetName val="WRKSHT-CONSOL"/>
      <sheetName val="WRKSHT-SHLRMC ELIM"/>
      <sheetName val="WRKSHT-SHL"/>
      <sheetName val="WRKSHT-RMC"/>
      <sheetName val="WRKSHT-CONSOL-CRCS"/>
      <sheetName val="WRKSHT-CONSOL-RCS-ELIM"/>
      <sheetName val="WRKSHT-CONSOL-RCS"/>
      <sheetName val="WRKSHT-CONSOL-CES"/>
      <sheetName val="WRKSHT-CONSOL-RDS"/>
      <sheetName val="CASHDIST"/>
      <sheetName val="FA DISPOSALS"/>
      <sheetName val="FIXASS"/>
      <sheetName val="INTASS"/>
      <sheetName val="DBTPYMT"/>
      <sheetName val="TREAS"/>
      <sheetName val="DEFLIAB"/>
      <sheetName val="PIC"/>
      <sheetName val="STMT-RMC ELIM"/>
      <sheetName val="STMT-SHL ELIM"/>
      <sheetName val="WRKSHT-SHL-CONSOL"/>
      <sheetName val="WRKSHT-SHL ELIM "/>
      <sheetName val="WRKSHT-RMC-CONSOL "/>
      <sheetName val="WRKSHT-RMC EL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le35" displayName="Table35" ref="A3:N24" totalsRowShown="0" headerRowDxfId="47" dataDxfId="45" totalsRowDxfId="43" headerRowBorderDxfId="46" tableBorderDxfId="44">
  <autoFilter ref="A3:N24" xr:uid="{00000000-0009-0000-0100-000004000000}"/>
  <tableColumns count="14">
    <tableColumn id="1" xr3:uid="{00000000-0010-0000-0000-000001000000}" name="Item" dataDxfId="42" totalsRowDxfId="41"/>
    <tableColumn id="8" xr3:uid="{71534E0B-A40D-41F7-B8FD-1E52A0405A4C}" name="LabQuest3" totalsRowDxfId="40"/>
    <tableColumn id="13" xr3:uid="{45E1A206-FB77-4144-96A4-86C0F90030EF}" name="Vernier Go Direct" totalsRowDxfId="39"/>
    <tableColumn id="3" xr3:uid="{00000000-0010-0000-0000-000003000000}" name="Spark Lxi2" dataDxfId="38" totalsRowDxfId="37"/>
    <tableColumn id="14" xr3:uid="{CB3BBD65-2DE9-4788-83E6-3F49498F642D}" name="Pasco Wireless" totalsRowDxfId="36"/>
    <tableColumn id="4" xr3:uid="{00000000-0010-0000-0000-000004000000}" name="V-Log" dataDxfId="35" totalsRowDxfId="34"/>
    <tableColumn id="15" xr3:uid="{2278F9B8-421D-42B3-BE4B-EC4157C718F6}" name="SmartQ Wireless" totalsRowDxfId="33"/>
    <tableColumn id="12" xr3:uid="{00000000-0010-0000-0000-00000C000000}" name="DISlab" totalsRowDxfId="32"/>
    <tableColumn id="2" xr3:uid="{00000000-0010-0000-0000-000002000000}" name="CASSY Mobile 2" totalsRowDxfId="31"/>
    <tableColumn id="6" xr3:uid="{00000000-0010-0000-0000-000006000000}" name="Labdisc Enviro" totalsRowDxfId="30"/>
    <tableColumn id="5" xr3:uid="{00000000-0010-0000-0000-000005000000}" name="Labdisc GenSci" totalsRowDxfId="29"/>
    <tableColumn id="11" xr3:uid="{00000000-0010-0000-0000-00000B000000}" name="Labdisc Physio" totalsRowDxfId="28"/>
    <tableColumn id="9" xr3:uid="{00000000-0010-0000-0000-000009000000}" name="Labdisc BioChem" totalsRowDxfId="27"/>
    <tableColumn id="7" xr3:uid="{00000000-0010-0000-0000-000007000000}" name="Labdisc benefits" dataDxfId="26" totalsRowDxfId="25"/>
  </tableColumns>
  <tableStyleInfo name="Table Style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3" displayName="Table3" ref="A3:K31" totalsRowCount="1" headerRowDxfId="24" dataDxfId="22" totalsRowDxfId="20" headerRowBorderDxfId="23" tableBorderDxfId="21">
  <autoFilter ref="A3:K30" xr:uid="{00000000-0009-0000-0100-000001000000}"/>
  <tableColumns count="11">
    <tableColumn id="1" xr3:uid="{00000000-0010-0000-0100-000001000000}" name="Item" totalsRowLabel="Total" dataDxfId="19" totalsRowDxfId="18"/>
    <tableColumn id="10" xr3:uid="{00000000-0010-0000-0100-00000A000000}" name="Vernier LabQuest3" dataDxfId="17" totalsRowDxfId="16"/>
    <tableColumn id="8" xr3:uid="{C6F5779B-3D71-4F78-A634-917F9ACDFAA3}" name="Vernier Go Direct" dataDxfId="15" totalsRowDxfId="14"/>
    <tableColumn id="3" xr3:uid="{00000000-0010-0000-0100-000003000000}" name="Pasco Spark Lxi2" dataDxfId="13" totalsRowDxfId="12"/>
    <tableColumn id="9" xr3:uid="{A0D051B4-11D6-4399-B76F-ED5C34D89A3D}" name="Pasco Wireless" dataDxfId="11" totalsRowDxfId="10"/>
    <tableColumn id="4" xr3:uid="{00000000-0010-0000-0100-000004000000}" name="Data Harvest V-Log" dataDxfId="9" totalsRowDxfId="8"/>
    <tableColumn id="11" xr3:uid="{04C4CB38-DF07-480E-A1E2-7BD5018BE40A}" name="Data Harvest SmartQ" dataDxfId="7" totalsRowDxfId="6"/>
    <tableColumn id="2" xr3:uid="{00000000-0010-0000-0100-000002000000}" name="llongwill DISlab" dataDxfId="5" totalsRowDxfId="4"/>
    <tableColumn id="7" xr3:uid="{00000000-0010-0000-0100-000007000000}" name="Laybold Cassy" dataDxfId="3" totalsRowDxfId="2">
      <calculatedColumnFormula>399*1.17</calculatedColumnFormula>
    </tableColumn>
    <tableColumn id="6" xr3:uid="{00000000-0010-0000-0100-000006000000}" name="Labdisc Enviro" totalsRowFunction="custom" totalsRowDxfId="1">
      <totalsRowFormula>SUM(J8:J30)</totalsRowFormula>
    </tableColumn>
    <tableColumn id="5" xr3:uid="{00000000-0010-0000-0100-000005000000}" name="Labdisc GenSci" totalsRowFunction="custom" totalsRowDxfId="0">
      <totalsRowFormula>SUM(K8:K30)</totalsRowFormula>
    </tableColumn>
  </tableColumns>
  <tableStyleInfo name="Table Style 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2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Q59"/>
  <sheetViews>
    <sheetView topLeftCell="B1" workbookViewId="0">
      <pane ySplit="4" topLeftCell="A5" activePane="bottomLeft" state="frozen"/>
      <selection pane="bottomLeft" activeCell="H13" sqref="H13"/>
    </sheetView>
  </sheetViews>
  <sheetFormatPr defaultRowHeight="12.75" x14ac:dyDescent="0.2"/>
  <cols>
    <col min="2" max="2" width="27.42578125" customWidth="1"/>
    <col min="4" max="4" width="11.85546875" customWidth="1"/>
    <col min="5" max="5" width="10.28515625" bestFit="1" customWidth="1"/>
    <col min="6" max="6" width="14.7109375" bestFit="1" customWidth="1"/>
    <col min="7" max="7" width="10.28515625" bestFit="1" customWidth="1"/>
    <col min="8" max="8" width="14.7109375" bestFit="1" customWidth="1"/>
    <col min="9" max="9" width="10.28515625" bestFit="1" customWidth="1"/>
    <col min="10" max="10" width="14.7109375" bestFit="1" customWidth="1"/>
    <col min="11" max="11" width="10.28515625" bestFit="1" customWidth="1"/>
    <col min="12" max="12" width="14.7109375" bestFit="1" customWidth="1"/>
    <col min="13" max="13" width="9.5703125" customWidth="1"/>
    <col min="14" max="14" width="14.7109375" bestFit="1" customWidth="1"/>
  </cols>
  <sheetData>
    <row r="2" spans="1:14" x14ac:dyDescent="0.2">
      <c r="A2">
        <v>1</v>
      </c>
      <c r="B2" s="3" t="s">
        <v>26</v>
      </c>
    </row>
    <row r="4" spans="1:14" x14ac:dyDescent="0.2">
      <c r="B4" s="2" t="s">
        <v>24</v>
      </c>
      <c r="C4" s="2" t="s">
        <v>23</v>
      </c>
      <c r="D4" s="2" t="s">
        <v>21</v>
      </c>
      <c r="E4" s="79" t="s">
        <v>0</v>
      </c>
      <c r="F4" s="79"/>
      <c r="G4" s="79" t="s">
        <v>1</v>
      </c>
      <c r="H4" s="79"/>
      <c r="I4" s="79" t="s">
        <v>2</v>
      </c>
      <c r="J4" s="79"/>
      <c r="K4" s="79" t="s">
        <v>3</v>
      </c>
      <c r="L4" s="79"/>
      <c r="M4" s="79" t="s">
        <v>14</v>
      </c>
      <c r="N4" s="79"/>
    </row>
    <row r="5" spans="1:14" x14ac:dyDescent="0.2">
      <c r="D5" s="15" t="s">
        <v>38</v>
      </c>
      <c r="E5" t="s">
        <v>22</v>
      </c>
      <c r="F5" t="s">
        <v>39</v>
      </c>
      <c r="G5" t="s">
        <v>22</v>
      </c>
      <c r="H5" t="s">
        <v>39</v>
      </c>
      <c r="I5" t="s">
        <v>22</v>
      </c>
      <c r="J5" t="s">
        <v>39</v>
      </c>
      <c r="K5" t="s">
        <v>22</v>
      </c>
      <c r="L5" t="s">
        <v>39</v>
      </c>
      <c r="M5" t="s">
        <v>22</v>
      </c>
      <c r="N5" t="s">
        <v>39</v>
      </c>
    </row>
    <row r="6" spans="1:14" x14ac:dyDescent="0.2">
      <c r="B6" t="s">
        <v>15</v>
      </c>
    </row>
    <row r="7" spans="1:14" x14ac:dyDescent="0.2">
      <c r="C7" t="s">
        <v>16</v>
      </c>
      <c r="D7" s="16" t="e">
        <f>D53</f>
        <v>#REF!</v>
      </c>
      <c r="E7" s="7" t="e">
        <f>F7/$D$7*1000</f>
        <v>#REF!</v>
      </c>
      <c r="F7" s="1" t="e">
        <f>(#REF!+#REF!+#REF!)*85%</f>
        <v>#REF!</v>
      </c>
      <c r="G7" s="7" t="e">
        <f>H7/$D$7*1000</f>
        <v>#REF!</v>
      </c>
      <c r="H7" s="1" t="e">
        <f>(#REF!+#REF!+#REF!)*85%</f>
        <v>#REF!</v>
      </c>
      <c r="I7" s="7" t="e">
        <f>J7/$D$7*1000</f>
        <v>#REF!</v>
      </c>
      <c r="J7" s="1" t="e">
        <f>(#REF!+#REF!+#REF!)*85%</f>
        <v>#REF!</v>
      </c>
      <c r="K7" s="7" t="e">
        <f>L7/$D$7*1000</f>
        <v>#REF!</v>
      </c>
      <c r="L7" s="1" t="e">
        <f>(#REF!+#REF!+#REF!)*85%</f>
        <v>#REF!</v>
      </c>
      <c r="M7" s="7" t="e">
        <f>N7/$D$7*1000</f>
        <v>#REF!</v>
      </c>
      <c r="N7" s="7" t="e">
        <f>F7+H7+J7+L7</f>
        <v>#REF!</v>
      </c>
    </row>
    <row r="8" spans="1:14" x14ac:dyDescent="0.2">
      <c r="C8" t="s">
        <v>17</v>
      </c>
      <c r="D8">
        <v>600</v>
      </c>
      <c r="E8" s="7" t="e">
        <f>F8/$D$8*1000</f>
        <v>#REF!</v>
      </c>
      <c r="F8" s="7" t="e">
        <f>#REF!*85%</f>
        <v>#REF!</v>
      </c>
      <c r="G8" s="7" t="e">
        <f>H8/$D$8*1000</f>
        <v>#REF!</v>
      </c>
      <c r="H8" s="7" t="e">
        <f>#REF!*85%</f>
        <v>#REF!</v>
      </c>
      <c r="I8" s="7" t="e">
        <f>J8/$D$8*1000</f>
        <v>#REF!</v>
      </c>
      <c r="J8" s="7" t="e">
        <f>#REF!*85%</f>
        <v>#REF!</v>
      </c>
      <c r="K8" s="7" t="e">
        <f>L8/$D$8*1000</f>
        <v>#REF!</v>
      </c>
      <c r="L8" s="7" t="e">
        <f>#REF!*85%</f>
        <v>#REF!</v>
      </c>
      <c r="M8" s="7" t="e">
        <f>N8/$D$8*1000</f>
        <v>#REF!</v>
      </c>
      <c r="N8" s="7" t="e">
        <f>F8+H8+J8+L8</f>
        <v>#REF!</v>
      </c>
    </row>
    <row r="9" spans="1:14" x14ac:dyDescent="0.2">
      <c r="C9" t="s">
        <v>18</v>
      </c>
      <c r="D9">
        <v>387</v>
      </c>
      <c r="E9" s="7" t="e">
        <f>F9/$D$9*1000</f>
        <v>#REF!</v>
      </c>
      <c r="F9" s="7" t="e">
        <f>9000*#REF!/#REF!*60%</f>
        <v>#REF!</v>
      </c>
      <c r="G9" s="7" t="e">
        <f>H9/$D$9*1000</f>
        <v>#REF!</v>
      </c>
      <c r="H9" s="7" t="e">
        <f>9000*#REF!/#REF!*60%</f>
        <v>#REF!</v>
      </c>
      <c r="I9" s="7" t="e">
        <f>J9/$D$9*1000</f>
        <v>#REF!</v>
      </c>
      <c r="J9" s="7" t="e">
        <f>9000*#REF!/#REF!*60%</f>
        <v>#REF!</v>
      </c>
      <c r="K9" s="7" t="e">
        <f>L9/$D$9*1000</f>
        <v>#REF!</v>
      </c>
      <c r="L9" s="7" t="e">
        <f>9000*#REF!/#REF!*60%</f>
        <v>#REF!</v>
      </c>
      <c r="M9" s="7" t="e">
        <f>E9+G9+I9+K9</f>
        <v>#REF!</v>
      </c>
      <c r="N9" s="7" t="e">
        <f>F9+H9+J9+L9</f>
        <v>#REF!</v>
      </c>
    </row>
    <row r="10" spans="1:14" x14ac:dyDescent="0.2">
      <c r="C10" t="s">
        <v>19</v>
      </c>
      <c r="D10">
        <v>410</v>
      </c>
      <c r="E10" s="8" t="e">
        <f>F10/$D$10*1000</f>
        <v>#REF!</v>
      </c>
      <c r="F10" s="8" t="e">
        <f>(2000*#REF!/#REF!+#REF!+#REF!)*65%</f>
        <v>#REF!</v>
      </c>
      <c r="G10" s="8" t="e">
        <f>H10/$D$10*1000</f>
        <v>#REF!</v>
      </c>
      <c r="H10" s="8" t="e">
        <f>(2000*#REF!/#REF!+#REF!+#REF!)*65%</f>
        <v>#REF!</v>
      </c>
      <c r="I10" s="8" t="e">
        <f>J10/$D$10*1000</f>
        <v>#REF!</v>
      </c>
      <c r="J10" s="8" t="e">
        <f>(2000*#REF!/#REF!+#REF!+#REF!)*65%</f>
        <v>#REF!</v>
      </c>
      <c r="K10" s="8" t="e">
        <f>L10/$D$10*1000</f>
        <v>#REF!</v>
      </c>
      <c r="L10" s="8" t="e">
        <f>(2000*#REF!/#REF!+#REF!+#REF!)*65%</f>
        <v>#REF!</v>
      </c>
      <c r="M10" s="8" t="e">
        <f>N10/$D$10*1000</f>
        <v>#REF!</v>
      </c>
      <c r="N10" s="8" t="e">
        <f>L10+J10+H10+F10</f>
        <v>#REF!</v>
      </c>
    </row>
    <row r="11" spans="1:14" s="3" customFormat="1" x14ac:dyDescent="0.2">
      <c r="C11" s="3" t="s">
        <v>4</v>
      </c>
      <c r="E11" s="5" t="e">
        <f>SUM(E7:E10)</f>
        <v>#REF!</v>
      </c>
      <c r="F11" s="5" t="e">
        <f t="shared" ref="F11:N11" si="0">SUM(F7:F10)</f>
        <v>#REF!</v>
      </c>
      <c r="G11" s="5" t="e">
        <f t="shared" si="0"/>
        <v>#REF!</v>
      </c>
      <c r="H11" s="5" t="e">
        <f t="shared" si="0"/>
        <v>#REF!</v>
      </c>
      <c r="I11" s="5" t="e">
        <f t="shared" si="0"/>
        <v>#REF!</v>
      </c>
      <c r="J11" s="5" t="e">
        <f t="shared" si="0"/>
        <v>#REF!</v>
      </c>
      <c r="K11" s="5" t="e">
        <f t="shared" si="0"/>
        <v>#REF!</v>
      </c>
      <c r="L11" s="5" t="e">
        <f t="shared" si="0"/>
        <v>#REF!</v>
      </c>
      <c r="M11" s="5" t="e">
        <f t="shared" si="0"/>
        <v>#REF!</v>
      </c>
      <c r="N11" s="5" t="e">
        <f t="shared" si="0"/>
        <v>#REF!</v>
      </c>
    </row>
    <row r="12" spans="1:14" x14ac:dyDescent="0.2">
      <c r="B12" t="s">
        <v>20</v>
      </c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x14ac:dyDescent="0.2">
      <c r="C13" t="s">
        <v>16</v>
      </c>
      <c r="D13">
        <v>59</v>
      </c>
      <c r="E13" s="7" t="e">
        <f>F13/$D$13*1000</f>
        <v>#REF!</v>
      </c>
      <c r="F13" s="1" t="e">
        <f>(#REF!+#REF!+#REF!)*15%</f>
        <v>#REF!</v>
      </c>
      <c r="G13" s="7" t="e">
        <f>H13/$D$13*1000</f>
        <v>#REF!</v>
      </c>
      <c r="H13" s="1" t="e">
        <f>(#REF!+#REF!+#REF!)*15%</f>
        <v>#REF!</v>
      </c>
      <c r="I13" s="7" t="e">
        <f>J13/$D$13*1000</f>
        <v>#REF!</v>
      </c>
      <c r="J13" s="1" t="e">
        <f>(#REF!+#REF!+#REF!)*15%</f>
        <v>#REF!</v>
      </c>
      <c r="K13" s="7" t="e">
        <f>L13/$D$13*1000</f>
        <v>#REF!</v>
      </c>
      <c r="L13" s="1" t="e">
        <f>(#REF!+#REF!+#REF!)*15%</f>
        <v>#REF!</v>
      </c>
      <c r="M13" s="7" t="e">
        <f>N13/$D$13*1000</f>
        <v>#REF!</v>
      </c>
      <c r="N13" s="7" t="e">
        <f>F13+H13+J13+L13</f>
        <v>#REF!</v>
      </c>
    </row>
    <row r="14" spans="1:14" x14ac:dyDescent="0.2">
      <c r="C14" t="s">
        <v>17</v>
      </c>
      <c r="D14">
        <v>60</v>
      </c>
      <c r="E14" s="7" t="e">
        <f>F14/$D$14*1000</f>
        <v>#REF!</v>
      </c>
      <c r="F14" s="7" t="e">
        <f>#REF!*15%</f>
        <v>#REF!</v>
      </c>
      <c r="G14" s="7" t="e">
        <f>H14/$D$14*1000</f>
        <v>#REF!</v>
      </c>
      <c r="H14" s="7" t="e">
        <f>#REF!*15%</f>
        <v>#REF!</v>
      </c>
      <c r="I14" s="7" t="e">
        <f>J14/$D$14*1000</f>
        <v>#REF!</v>
      </c>
      <c r="J14" s="7" t="e">
        <f>#REF!*15%</f>
        <v>#REF!</v>
      </c>
      <c r="K14" s="7" t="e">
        <f>L14/$D$14*1000</f>
        <v>#REF!</v>
      </c>
      <c r="L14" s="7" t="e">
        <f>#REF!*15%</f>
        <v>#REF!</v>
      </c>
      <c r="M14" s="7" t="e">
        <f>N14/$D$8*1000</f>
        <v>#REF!</v>
      </c>
      <c r="N14" s="7" t="e">
        <f>F14+H14+J14+L14</f>
        <v>#REF!</v>
      </c>
    </row>
    <row r="15" spans="1:14" x14ac:dyDescent="0.2">
      <c r="C15" t="s">
        <v>18</v>
      </c>
      <c r="D15">
        <v>39</v>
      </c>
      <c r="E15" s="7" t="e">
        <f>F15/$D$15*1000</f>
        <v>#REF!</v>
      </c>
      <c r="F15" s="7" t="e">
        <f>9000*#REF!/#REF!*40%</f>
        <v>#REF!</v>
      </c>
      <c r="G15" s="7" t="e">
        <f>H15/$D$15*1000</f>
        <v>#REF!</v>
      </c>
      <c r="H15" s="7" t="e">
        <f>9000*#REF!/#REF!*40%</f>
        <v>#REF!</v>
      </c>
      <c r="I15" s="7" t="e">
        <f>J15/$D$15*1000</f>
        <v>#REF!</v>
      </c>
      <c r="J15" s="7" t="e">
        <f>9000*#REF!/#REF!*40%</f>
        <v>#REF!</v>
      </c>
      <c r="K15" s="7" t="e">
        <f>L15/$D$15*1000</f>
        <v>#REF!</v>
      </c>
      <c r="L15" s="7" t="e">
        <f>9000*#REF!/#REF!*40%</f>
        <v>#REF!</v>
      </c>
      <c r="M15" s="7" t="e">
        <f>E15+G15+I15+K15</f>
        <v>#REF!</v>
      </c>
      <c r="N15" s="7" t="e">
        <f>F15+H15+J15+L15</f>
        <v>#REF!</v>
      </c>
    </row>
    <row r="16" spans="1:14" x14ac:dyDescent="0.2">
      <c r="C16" t="s">
        <v>19</v>
      </c>
      <c r="D16">
        <v>49</v>
      </c>
      <c r="E16" s="8" t="e">
        <f>F16/$D$16*1000</f>
        <v>#REF!</v>
      </c>
      <c r="F16" s="8" t="e">
        <f>(2000*#REF!/#REF!+#REF!+#REF!)*35%</f>
        <v>#REF!</v>
      </c>
      <c r="G16" s="8" t="e">
        <f>H16/$D$16*1000</f>
        <v>#REF!</v>
      </c>
      <c r="H16" s="8" t="e">
        <f>(2000*#REF!/#REF!+#REF!+#REF!)*35%</f>
        <v>#REF!</v>
      </c>
      <c r="I16" s="8" t="e">
        <f>J16/$D$16*1000</f>
        <v>#REF!</v>
      </c>
      <c r="J16" s="8" t="e">
        <f>(2000*#REF!/#REF!+#REF!+#REF!)*35%</f>
        <v>#REF!</v>
      </c>
      <c r="K16" s="8" t="e">
        <f>L16/$D$16*1000</f>
        <v>#REF!</v>
      </c>
      <c r="L16" s="8" t="e">
        <f>(2000*#REF!/#REF!+#REF!+#REF!)*35%</f>
        <v>#REF!</v>
      </c>
      <c r="M16" s="8" t="e">
        <f>N16/$D$16*1000</f>
        <v>#REF!</v>
      </c>
      <c r="N16" s="8" t="e">
        <f>L16+J16+H16+F16</f>
        <v>#REF!</v>
      </c>
    </row>
    <row r="17" spans="2:14" s="3" customFormat="1" x14ac:dyDescent="0.2">
      <c r="C17" s="3" t="s">
        <v>4</v>
      </c>
      <c r="E17" s="6" t="e">
        <f>SUM(E13:E16)</f>
        <v>#REF!</v>
      </c>
      <c r="F17" s="6" t="e">
        <f t="shared" ref="F17:N17" si="1">SUM(F13:F16)</f>
        <v>#REF!</v>
      </c>
      <c r="G17" s="6" t="e">
        <f t="shared" si="1"/>
        <v>#REF!</v>
      </c>
      <c r="H17" s="6" t="e">
        <f t="shared" si="1"/>
        <v>#REF!</v>
      </c>
      <c r="I17" s="6" t="e">
        <f t="shared" si="1"/>
        <v>#REF!</v>
      </c>
      <c r="J17" s="6" t="e">
        <f t="shared" si="1"/>
        <v>#REF!</v>
      </c>
      <c r="K17" s="6" t="e">
        <f t="shared" si="1"/>
        <v>#REF!</v>
      </c>
      <c r="L17" s="6" t="e">
        <f t="shared" si="1"/>
        <v>#REF!</v>
      </c>
      <c r="M17" s="6" t="e">
        <f t="shared" si="1"/>
        <v>#REF!</v>
      </c>
      <c r="N17" s="6" t="e">
        <f t="shared" si="1"/>
        <v>#REF!</v>
      </c>
    </row>
    <row r="18" spans="2:14" x14ac:dyDescent="0.2">
      <c r="B18" t="s">
        <v>7</v>
      </c>
    </row>
    <row r="19" spans="2:14" x14ac:dyDescent="0.2">
      <c r="C19" t="s">
        <v>16</v>
      </c>
      <c r="E19" s="7"/>
      <c r="F19" s="7" t="e">
        <f>E7*20%*0.12</f>
        <v>#REF!</v>
      </c>
      <c r="G19" s="7"/>
      <c r="H19" s="7" t="e">
        <f>G7*20%*0.12</f>
        <v>#REF!</v>
      </c>
      <c r="I19" s="7"/>
      <c r="J19" s="7" t="e">
        <f>I7*20%*0.12</f>
        <v>#REF!</v>
      </c>
      <c r="K19" s="7"/>
      <c r="L19" s="7" t="e">
        <f>K7*20%*0.12</f>
        <v>#REF!</v>
      </c>
      <c r="M19" s="7"/>
      <c r="N19" s="7" t="e">
        <f>F19+H19+J19+L19</f>
        <v>#REF!</v>
      </c>
    </row>
    <row r="20" spans="2:14" x14ac:dyDescent="0.2">
      <c r="C20" t="s">
        <v>17</v>
      </c>
      <c r="E20" s="7"/>
      <c r="F20" s="7" t="e">
        <f>E8*20%*0.12</f>
        <v>#REF!</v>
      </c>
      <c r="G20" s="7"/>
      <c r="H20" s="7" t="e">
        <f>G8*20%*0.12</f>
        <v>#REF!</v>
      </c>
      <c r="I20" s="7"/>
      <c r="J20" s="7" t="e">
        <f>I8*20%*0.12</f>
        <v>#REF!</v>
      </c>
      <c r="K20" s="7"/>
      <c r="L20" s="7" t="e">
        <f>K8*20%*0.12</f>
        <v>#REF!</v>
      </c>
      <c r="M20" s="7"/>
      <c r="N20" s="7" t="e">
        <f>F20+H20+J20+L20</f>
        <v>#REF!</v>
      </c>
    </row>
    <row r="21" spans="2:14" x14ac:dyDescent="0.2">
      <c r="C21" t="s">
        <v>18</v>
      </c>
      <c r="E21" s="7"/>
      <c r="F21" s="7">
        <v>0</v>
      </c>
      <c r="G21" s="7"/>
      <c r="H21" s="7">
        <v>0</v>
      </c>
      <c r="I21" s="7"/>
      <c r="J21" s="7">
        <v>0</v>
      </c>
      <c r="K21" s="7"/>
      <c r="L21" s="7">
        <v>0</v>
      </c>
      <c r="M21" s="7"/>
      <c r="N21" s="7">
        <v>0</v>
      </c>
    </row>
    <row r="22" spans="2:14" x14ac:dyDescent="0.2">
      <c r="C22" t="s">
        <v>19</v>
      </c>
      <c r="E22" s="7"/>
      <c r="F22" s="7">
        <v>0</v>
      </c>
      <c r="G22" s="7"/>
      <c r="H22" s="7">
        <v>0</v>
      </c>
      <c r="I22" s="7"/>
      <c r="J22" s="7">
        <v>0</v>
      </c>
      <c r="K22" s="7"/>
      <c r="L22" s="7">
        <v>0</v>
      </c>
      <c r="M22" s="7"/>
      <c r="N22" s="7">
        <v>0</v>
      </c>
    </row>
    <row r="23" spans="2:14" s="3" customFormat="1" x14ac:dyDescent="0.2">
      <c r="C23" s="3" t="s">
        <v>4</v>
      </c>
      <c r="E23" s="4"/>
      <c r="F23" s="6" t="e">
        <f>SUM(F19:F22)</f>
        <v>#REF!</v>
      </c>
      <c r="G23" s="4"/>
      <c r="H23" s="6" t="e">
        <f>SUM(H19:H22)</f>
        <v>#REF!</v>
      </c>
      <c r="I23" s="4"/>
      <c r="J23" s="6" t="e">
        <f>SUM(J19:J22)</f>
        <v>#REF!</v>
      </c>
      <c r="K23" s="4"/>
      <c r="L23" s="6" t="e">
        <f>SUM(L19:L22)</f>
        <v>#REF!</v>
      </c>
      <c r="M23" s="4"/>
      <c r="N23" s="6" t="e">
        <f>SUM(N19:N22)</f>
        <v>#REF!</v>
      </c>
    </row>
    <row r="24" spans="2:14" x14ac:dyDescent="0.2">
      <c r="B24" t="s">
        <v>8</v>
      </c>
    </row>
    <row r="25" spans="2:14" x14ac:dyDescent="0.2">
      <c r="C25" t="s">
        <v>16</v>
      </c>
      <c r="E25" s="7"/>
      <c r="F25" s="7" t="e">
        <f>E7/25*0.8*30%</f>
        <v>#REF!</v>
      </c>
      <c r="G25" s="7"/>
      <c r="H25" s="7" t="e">
        <f>G7/25*0.8*30%</f>
        <v>#REF!</v>
      </c>
      <c r="I25" s="7"/>
      <c r="J25" s="7" t="e">
        <f>I7/25*0.8*30%</f>
        <v>#REF!</v>
      </c>
      <c r="K25" s="7"/>
      <c r="L25" s="7" t="e">
        <f>K7/25*0.8*30%</f>
        <v>#REF!</v>
      </c>
      <c r="M25" s="7"/>
      <c r="N25" s="7" t="e">
        <f>F25+H25+J25+L25</f>
        <v>#REF!</v>
      </c>
    </row>
    <row r="26" spans="2:14" x14ac:dyDescent="0.2">
      <c r="C26" t="s">
        <v>17</v>
      </c>
      <c r="E26" s="7"/>
      <c r="F26" s="7" t="e">
        <f>E8/25*0.8*30%</f>
        <v>#REF!</v>
      </c>
      <c r="G26" s="7"/>
      <c r="H26" s="7" t="e">
        <f>G8/25*0.8*30%</f>
        <v>#REF!</v>
      </c>
      <c r="I26" s="7"/>
      <c r="J26" s="7" t="e">
        <f>I8/25*0.8*30%</f>
        <v>#REF!</v>
      </c>
      <c r="K26" s="7"/>
      <c r="L26" s="7" t="e">
        <f>K8/25*0.8*30%</f>
        <v>#REF!</v>
      </c>
      <c r="M26" s="7"/>
      <c r="N26" s="7" t="e">
        <f>F26+H26+J26+L26</f>
        <v>#REF!</v>
      </c>
    </row>
    <row r="27" spans="2:14" x14ac:dyDescent="0.2">
      <c r="C27" t="s">
        <v>18</v>
      </c>
      <c r="E27" s="7"/>
      <c r="F27" s="7">
        <v>0</v>
      </c>
      <c r="G27" s="7"/>
      <c r="H27" s="7">
        <v>0</v>
      </c>
      <c r="I27" s="7"/>
      <c r="J27" s="7">
        <v>0</v>
      </c>
      <c r="K27" s="7"/>
      <c r="L27" s="7">
        <v>0</v>
      </c>
      <c r="M27" s="7"/>
      <c r="N27" s="7">
        <v>0</v>
      </c>
    </row>
    <row r="28" spans="2:14" x14ac:dyDescent="0.2">
      <c r="C28" t="s">
        <v>19</v>
      </c>
      <c r="E28" s="7"/>
      <c r="F28" s="7">
        <v>0</v>
      </c>
      <c r="G28" s="7"/>
      <c r="H28" s="7">
        <v>0</v>
      </c>
      <c r="I28" s="7"/>
      <c r="J28" s="7">
        <v>0</v>
      </c>
      <c r="K28" s="7"/>
      <c r="L28" s="7">
        <v>0</v>
      </c>
      <c r="M28" s="7"/>
      <c r="N28" s="7">
        <v>0</v>
      </c>
    </row>
    <row r="29" spans="2:14" s="3" customFormat="1" x14ac:dyDescent="0.2">
      <c r="C29" s="3" t="s">
        <v>4</v>
      </c>
      <c r="E29" s="4"/>
      <c r="F29" s="6" t="e">
        <f>SUM(F25:F28)</f>
        <v>#REF!</v>
      </c>
      <c r="G29" s="4"/>
      <c r="H29" s="6" t="e">
        <f>SUM(H25:H28)</f>
        <v>#REF!</v>
      </c>
      <c r="I29" s="4"/>
      <c r="J29" s="6" t="e">
        <f>SUM(J25:J28)</f>
        <v>#REF!</v>
      </c>
      <c r="K29" s="4"/>
      <c r="L29" s="6" t="e">
        <f>SUM(L25:L28)</f>
        <v>#REF!</v>
      </c>
      <c r="M29" s="4"/>
      <c r="N29" s="6" t="e">
        <f>SUM(N25:N28)</f>
        <v>#REF!</v>
      </c>
    </row>
    <row r="30" spans="2:14" x14ac:dyDescent="0.2">
      <c r="B30" t="s">
        <v>25</v>
      </c>
    </row>
    <row r="31" spans="2:14" x14ac:dyDescent="0.2">
      <c r="C31" t="s">
        <v>16</v>
      </c>
      <c r="F31" s="7" t="e">
        <f>40%*#REF!</f>
        <v>#REF!</v>
      </c>
      <c r="G31" s="7"/>
      <c r="H31" s="7" t="e">
        <f>40%*#REF!</f>
        <v>#REF!</v>
      </c>
      <c r="I31" s="7"/>
      <c r="J31" s="7" t="e">
        <f>40%*#REF!</f>
        <v>#REF!</v>
      </c>
      <c r="K31" s="7"/>
      <c r="L31" s="7" t="e">
        <f>40%*#REF!</f>
        <v>#REF!</v>
      </c>
      <c r="M31" s="7"/>
      <c r="N31" s="7" t="e">
        <f>F31+H31+J31+L31</f>
        <v>#REF!</v>
      </c>
    </row>
    <row r="32" spans="2:14" x14ac:dyDescent="0.2">
      <c r="C32" t="s">
        <v>17</v>
      </c>
      <c r="F32" s="7">
        <v>0</v>
      </c>
      <c r="G32" s="7"/>
      <c r="H32" s="7">
        <v>0</v>
      </c>
      <c r="I32" s="7"/>
      <c r="J32" s="7">
        <v>0</v>
      </c>
      <c r="K32" s="7"/>
      <c r="L32" s="7">
        <v>0</v>
      </c>
      <c r="M32" s="7"/>
      <c r="N32" s="7">
        <f>F32+H32+J32+L32</f>
        <v>0</v>
      </c>
    </row>
    <row r="33" spans="1:14" x14ac:dyDescent="0.2">
      <c r="C33" t="s">
        <v>18</v>
      </c>
      <c r="F33" s="7">
        <v>0</v>
      </c>
      <c r="G33" s="7"/>
      <c r="H33" s="7">
        <v>0</v>
      </c>
      <c r="I33" s="7"/>
      <c r="J33" s="7">
        <v>0</v>
      </c>
      <c r="K33" s="7"/>
      <c r="L33" s="7">
        <v>0</v>
      </c>
      <c r="M33" s="7"/>
      <c r="N33" s="7">
        <f>F33+H33+J33+L33</f>
        <v>0</v>
      </c>
    </row>
    <row r="34" spans="1:14" x14ac:dyDescent="0.2">
      <c r="C34" t="s">
        <v>19</v>
      </c>
      <c r="E34" s="2"/>
      <c r="F34" s="7" t="e">
        <f>60%*#REF!</f>
        <v>#REF!</v>
      </c>
      <c r="G34" s="7"/>
      <c r="H34" s="7" t="e">
        <f>60%*#REF!</f>
        <v>#REF!</v>
      </c>
      <c r="I34" s="7"/>
      <c r="J34" s="7" t="e">
        <f>60%*#REF!</f>
        <v>#REF!</v>
      </c>
      <c r="K34" s="7"/>
      <c r="L34" s="7" t="e">
        <f>60%*#REF!</f>
        <v>#REF!</v>
      </c>
      <c r="M34" s="7"/>
      <c r="N34" s="7" t="e">
        <f>F34+H34+J34+L34</f>
        <v>#REF!</v>
      </c>
    </row>
    <row r="35" spans="1:14" s="3" customFormat="1" x14ac:dyDescent="0.2">
      <c r="C35" s="3" t="s">
        <v>4</v>
      </c>
      <c r="E35" s="4"/>
      <c r="F35" s="5" t="e">
        <f>SUM(F31:F34)</f>
        <v>#REF!</v>
      </c>
      <c r="G35" s="5"/>
      <c r="H35" s="5" t="e">
        <f>SUM(H31:H34)</f>
        <v>#REF!</v>
      </c>
      <c r="I35" s="5"/>
      <c r="J35" s="5" t="e">
        <f>SUM(J31:J34)</f>
        <v>#REF!</v>
      </c>
      <c r="K35" s="5"/>
      <c r="L35" s="5" t="e">
        <f>SUM(L31:L34)</f>
        <v>#REF!</v>
      </c>
      <c r="M35" s="5"/>
      <c r="N35" s="5" t="e">
        <f>SUM(N31:N34)</f>
        <v>#REF!</v>
      </c>
    </row>
    <row r="36" spans="1:14" x14ac:dyDescent="0.2">
      <c r="B36" t="s">
        <v>4</v>
      </c>
    </row>
    <row r="37" spans="1:14" x14ac:dyDescent="0.2">
      <c r="C37" t="s">
        <v>16</v>
      </c>
      <c r="F37" s="7" t="e">
        <f>F7+F13+F19+F25+F31</f>
        <v>#REF!</v>
      </c>
      <c r="H37" s="7" t="e">
        <f>H7+H13+H19+H25+H31</f>
        <v>#REF!</v>
      </c>
      <c r="J37" s="7" t="e">
        <f>J7+J13+J19+J25+J31</f>
        <v>#REF!</v>
      </c>
      <c r="L37" s="7" t="e">
        <f>L7+L13+L19+L25+L31</f>
        <v>#REF!</v>
      </c>
      <c r="N37" s="7" t="e">
        <f>N7+N13+N19+N25+N31</f>
        <v>#REF!</v>
      </c>
    </row>
    <row r="38" spans="1:14" x14ac:dyDescent="0.2">
      <c r="C38" t="s">
        <v>17</v>
      </c>
      <c r="F38" s="7" t="e">
        <f t="shared" ref="F38:H40" si="2">F8+F14+F20+F26+F32</f>
        <v>#REF!</v>
      </c>
      <c r="H38" s="7" t="e">
        <f t="shared" si="2"/>
        <v>#REF!</v>
      </c>
      <c r="J38" s="7" t="e">
        <f>J8+J14+J20+J26+J32</f>
        <v>#REF!</v>
      </c>
      <c r="L38" s="7" t="e">
        <f>L8+L14+L20+L26+L32</f>
        <v>#REF!</v>
      </c>
      <c r="N38" s="7" t="e">
        <f>N8+N14+N20+N26+N32</f>
        <v>#REF!</v>
      </c>
    </row>
    <row r="39" spans="1:14" x14ac:dyDescent="0.2">
      <c r="C39" t="s">
        <v>18</v>
      </c>
      <c r="F39" s="7" t="e">
        <f t="shared" si="2"/>
        <v>#REF!</v>
      </c>
      <c r="H39" s="7" t="e">
        <f t="shared" si="2"/>
        <v>#REF!</v>
      </c>
      <c r="J39" s="7" t="e">
        <f>J9+J15+J21+J27+J33</f>
        <v>#REF!</v>
      </c>
      <c r="L39" s="7" t="e">
        <f>L9+L15+L21+L27+L33</f>
        <v>#REF!</v>
      </c>
      <c r="N39" s="7" t="e">
        <f>N9+N15+N21+N27+N33</f>
        <v>#REF!</v>
      </c>
    </row>
    <row r="40" spans="1:14" x14ac:dyDescent="0.2">
      <c r="C40" t="s">
        <v>19</v>
      </c>
      <c r="E40" s="2"/>
      <c r="F40" s="7" t="e">
        <f t="shared" si="2"/>
        <v>#REF!</v>
      </c>
      <c r="G40" s="2"/>
      <c r="H40" s="7" t="e">
        <f t="shared" si="2"/>
        <v>#REF!</v>
      </c>
      <c r="I40" s="2"/>
      <c r="J40" s="7" t="e">
        <f>J10+J16+J22+J28+J34</f>
        <v>#REF!</v>
      </c>
      <c r="K40" s="2"/>
      <c r="L40" s="7" t="e">
        <f>L10+L16+L22+L28+L34</f>
        <v>#REF!</v>
      </c>
      <c r="M40" s="2"/>
      <c r="N40" s="7" t="e">
        <f>N10+N16+N22+N28+N34</f>
        <v>#REF!</v>
      </c>
    </row>
    <row r="41" spans="1:14" s="3" customFormat="1" x14ac:dyDescent="0.2">
      <c r="C41" s="3" t="s">
        <v>4</v>
      </c>
      <c r="E41" s="4"/>
      <c r="F41" s="5" t="e">
        <f>SUM(F37:F40)</f>
        <v>#REF!</v>
      </c>
      <c r="G41" s="4"/>
      <c r="H41" s="5" t="e">
        <f>SUM(H37:H40)</f>
        <v>#REF!</v>
      </c>
      <c r="I41" s="4"/>
      <c r="J41" s="5" t="e">
        <f>SUM(J37:J40)</f>
        <v>#REF!</v>
      </c>
      <c r="K41" s="4"/>
      <c r="L41" s="5" t="e">
        <f>SUM(L37:L40)</f>
        <v>#REF!</v>
      </c>
      <c r="M41" s="4"/>
      <c r="N41" s="5" t="e">
        <f>SUM(N37:N40)</f>
        <v>#REF!</v>
      </c>
    </row>
    <row r="43" spans="1:14" x14ac:dyDescent="0.2">
      <c r="A43">
        <v>2</v>
      </c>
      <c r="B43" s="3" t="s">
        <v>27</v>
      </c>
    </row>
    <row r="45" spans="1:14" x14ac:dyDescent="0.2">
      <c r="B45" s="2" t="s">
        <v>28</v>
      </c>
      <c r="C45" s="2" t="s">
        <v>35</v>
      </c>
      <c r="D45" s="2" t="s">
        <v>21</v>
      </c>
      <c r="E45" s="79" t="s">
        <v>0</v>
      </c>
      <c r="F45" s="79"/>
      <c r="G45" s="79" t="s">
        <v>1</v>
      </c>
      <c r="H45" s="79"/>
      <c r="I45" s="79" t="s">
        <v>2</v>
      </c>
      <c r="J45" s="79"/>
      <c r="K45" s="79" t="s">
        <v>3</v>
      </c>
      <c r="L45" s="79"/>
      <c r="M45" s="79" t="s">
        <v>14</v>
      </c>
      <c r="N45" s="79"/>
    </row>
    <row r="46" spans="1:14" x14ac:dyDescent="0.2">
      <c r="D46" s="15" t="s">
        <v>38</v>
      </c>
      <c r="E46" t="s">
        <v>22</v>
      </c>
      <c r="F46" t="s">
        <v>39</v>
      </c>
      <c r="G46" t="s">
        <v>22</v>
      </c>
      <c r="H46" t="s">
        <v>39</v>
      </c>
      <c r="I46" t="s">
        <v>22</v>
      </c>
      <c r="J46" t="s">
        <v>39</v>
      </c>
      <c r="K46" t="s">
        <v>22</v>
      </c>
      <c r="L46" t="s">
        <v>39</v>
      </c>
      <c r="M46" t="s">
        <v>22</v>
      </c>
      <c r="N46" t="s">
        <v>39</v>
      </c>
    </row>
    <row r="47" spans="1:14" x14ac:dyDescent="0.2">
      <c r="C47" t="s">
        <v>9</v>
      </c>
      <c r="D47" s="7">
        <f>$D$52*90%</f>
        <v>387</v>
      </c>
      <c r="E47" s="7" t="e">
        <f>F47/$D$47*1000</f>
        <v>#REF!</v>
      </c>
      <c r="F47" s="7" t="e">
        <f>#REF!</f>
        <v>#REF!</v>
      </c>
      <c r="G47" s="7" t="e">
        <f>H47/$D$47*1000</f>
        <v>#REF!</v>
      </c>
      <c r="H47" s="7" t="e">
        <f>#REF!</f>
        <v>#REF!</v>
      </c>
      <c r="I47" s="7" t="e">
        <f>J47/$D$47*1000</f>
        <v>#REF!</v>
      </c>
      <c r="J47" s="7" t="e">
        <f>#REF!</f>
        <v>#REF!</v>
      </c>
      <c r="K47" s="7" t="e">
        <f>L47/$D$47*1000</f>
        <v>#REF!</v>
      </c>
      <c r="L47" s="7" t="e">
        <f>#REF!</f>
        <v>#REF!</v>
      </c>
      <c r="M47" s="7" t="e">
        <f>N47/$D$47*1000</f>
        <v>#REF!</v>
      </c>
      <c r="N47" s="7" t="e">
        <f t="shared" ref="N47:N52" si="3">F47+H47+J47+L47</f>
        <v>#REF!</v>
      </c>
    </row>
    <row r="48" spans="1:14" x14ac:dyDescent="0.2">
      <c r="C48" t="s">
        <v>10</v>
      </c>
      <c r="D48" s="7">
        <f>$D$52*90%</f>
        <v>387</v>
      </c>
      <c r="E48" s="7" t="e">
        <f>F48/$D$48*1000</f>
        <v>#REF!</v>
      </c>
      <c r="F48" s="7" t="e">
        <f>#REF!</f>
        <v>#REF!</v>
      </c>
      <c r="G48" s="7" t="e">
        <f>H48/$D$48*1000</f>
        <v>#REF!</v>
      </c>
      <c r="H48" s="7" t="e">
        <f>#REF!</f>
        <v>#REF!</v>
      </c>
      <c r="I48" s="7" t="e">
        <f>J48/$D$48*1000</f>
        <v>#REF!</v>
      </c>
      <c r="J48" s="7" t="e">
        <f>#REF!</f>
        <v>#REF!</v>
      </c>
      <c r="K48" s="7" t="e">
        <f>L48/$D$48*1000</f>
        <v>#REF!</v>
      </c>
      <c r="L48" s="7" t="e">
        <f>#REF!</f>
        <v>#REF!</v>
      </c>
      <c r="M48" s="7" t="e">
        <f>N48/$D$48*1000</f>
        <v>#REF!</v>
      </c>
      <c r="N48" s="7" t="e">
        <f t="shared" si="3"/>
        <v>#REF!</v>
      </c>
    </row>
    <row r="49" spans="1:17" x14ac:dyDescent="0.2">
      <c r="C49" t="s">
        <v>6</v>
      </c>
      <c r="D49" s="7">
        <f>$D$52*90%</f>
        <v>387</v>
      </c>
      <c r="E49" s="7" t="e">
        <f>F49/$D$49*1000</f>
        <v>#REF!</v>
      </c>
      <c r="F49" s="7" t="e">
        <f>#REF!</f>
        <v>#REF!</v>
      </c>
      <c r="G49" s="7" t="e">
        <f>H49/$D$49*1000</f>
        <v>#REF!</v>
      </c>
      <c r="H49" s="7" t="e">
        <f>#REF!</f>
        <v>#REF!</v>
      </c>
      <c r="I49" s="7" t="e">
        <f>J49/$D$49*1000</f>
        <v>#REF!</v>
      </c>
      <c r="J49" s="7" t="e">
        <f>#REF!</f>
        <v>#REF!</v>
      </c>
      <c r="K49" s="7" t="e">
        <f>L49/$D$49*1000</f>
        <v>#REF!</v>
      </c>
      <c r="L49" s="7" t="e">
        <f>#REF!</f>
        <v>#REF!</v>
      </c>
      <c r="M49" s="7" t="e">
        <f>N49/$D$49*1000</f>
        <v>#REF!</v>
      </c>
      <c r="N49" s="7" t="e">
        <f t="shared" si="3"/>
        <v>#REF!</v>
      </c>
    </row>
    <row r="50" spans="1:17" s="3" customFormat="1" x14ac:dyDescent="0.2">
      <c r="C50" t="s">
        <v>11</v>
      </c>
      <c r="D50" s="17">
        <f>$D$52*90%</f>
        <v>387</v>
      </c>
      <c r="E50" s="7" t="e">
        <f>F50/$D$50*1000</f>
        <v>#REF!</v>
      </c>
      <c r="F50" s="7" t="e">
        <f>#REF!</f>
        <v>#REF!</v>
      </c>
      <c r="G50" s="7" t="e">
        <f>H50/$D$50*1000</f>
        <v>#REF!</v>
      </c>
      <c r="H50" s="7" t="e">
        <f>#REF!</f>
        <v>#REF!</v>
      </c>
      <c r="I50" s="7" t="e">
        <f>J50/$D$50*1000</f>
        <v>#REF!</v>
      </c>
      <c r="J50" s="7" t="e">
        <f>#REF!</f>
        <v>#REF!</v>
      </c>
      <c r="K50" s="7" t="e">
        <f>L50/$D$50*1000</f>
        <v>#REF!</v>
      </c>
      <c r="L50" s="7" t="e">
        <f>#REF!</f>
        <v>#REF!</v>
      </c>
      <c r="M50" s="7" t="e">
        <f>N50/$D$50*1000</f>
        <v>#REF!</v>
      </c>
      <c r="N50" s="7" t="e">
        <f t="shared" si="3"/>
        <v>#REF!</v>
      </c>
      <c r="O50"/>
      <c r="P50"/>
      <c r="Q50"/>
    </row>
    <row r="51" spans="1:17" x14ac:dyDescent="0.2">
      <c r="C51" t="s">
        <v>12</v>
      </c>
      <c r="D51" s="17">
        <f>$D$52*90%</f>
        <v>387</v>
      </c>
      <c r="E51" s="7" t="e">
        <f>F51/$D$51*1000</f>
        <v>#REF!</v>
      </c>
      <c r="F51" s="7" t="e">
        <f>#REF!</f>
        <v>#REF!</v>
      </c>
      <c r="G51" s="7" t="e">
        <f>H51/$D$51*1000</f>
        <v>#REF!</v>
      </c>
      <c r="H51" s="7" t="e">
        <f>#REF!</f>
        <v>#REF!</v>
      </c>
      <c r="I51" s="7" t="e">
        <f>J51/$D$51*1000</f>
        <v>#REF!</v>
      </c>
      <c r="J51" s="7" t="e">
        <f>#REF!</f>
        <v>#REF!</v>
      </c>
      <c r="K51" s="7" t="e">
        <f>L51/$D$51*1000</f>
        <v>#REF!</v>
      </c>
      <c r="L51" s="7" t="e">
        <f>#REF!</f>
        <v>#REF!</v>
      </c>
      <c r="M51" s="7" t="e">
        <f>N51/$D$51*1000</f>
        <v>#REF!</v>
      </c>
      <c r="N51" s="7" t="e">
        <f t="shared" si="3"/>
        <v>#REF!</v>
      </c>
    </row>
    <row r="52" spans="1:17" x14ac:dyDescent="0.2">
      <c r="C52" t="s">
        <v>13</v>
      </c>
      <c r="D52" s="17">
        <v>430</v>
      </c>
      <c r="E52" s="7" t="e">
        <f>F52/$D$52*1000</f>
        <v>#REF!</v>
      </c>
      <c r="F52" s="7" t="e">
        <f>#REF!</f>
        <v>#REF!</v>
      </c>
      <c r="G52" s="7" t="e">
        <f>H52/$D$52*1000</f>
        <v>#REF!</v>
      </c>
      <c r="H52" s="7" t="e">
        <f>#REF!</f>
        <v>#REF!</v>
      </c>
      <c r="I52" s="7" t="e">
        <f>J52/$D$52*1000</f>
        <v>#REF!</v>
      </c>
      <c r="J52" s="7" t="e">
        <f>#REF!</f>
        <v>#REF!</v>
      </c>
      <c r="K52" s="7" t="e">
        <f>L52/$D$52*1000</f>
        <v>#REF!</v>
      </c>
      <c r="L52" s="7" t="e">
        <f>#REF!</f>
        <v>#REF!</v>
      </c>
      <c r="M52" s="7" t="e">
        <f>N52/$D$52*1000</f>
        <v>#REF!</v>
      </c>
      <c r="N52" s="7" t="e">
        <f t="shared" si="3"/>
        <v>#REF!</v>
      </c>
    </row>
    <row r="53" spans="1:17" s="3" customFormat="1" x14ac:dyDescent="0.2">
      <c r="C53" s="3" t="s">
        <v>4</v>
      </c>
      <c r="D53" s="18" t="e">
        <f>N53/M53*1000</f>
        <v>#REF!</v>
      </c>
      <c r="E53" s="5" t="e">
        <f t="shared" ref="E53:M53" si="4">SUM(E47:E52)</f>
        <v>#REF!</v>
      </c>
      <c r="F53" s="5" t="e">
        <f t="shared" si="4"/>
        <v>#REF!</v>
      </c>
      <c r="G53" s="5" t="e">
        <f t="shared" si="4"/>
        <v>#REF!</v>
      </c>
      <c r="H53" s="5" t="e">
        <f t="shared" si="4"/>
        <v>#REF!</v>
      </c>
      <c r="I53" s="5" t="e">
        <f t="shared" si="4"/>
        <v>#REF!</v>
      </c>
      <c r="J53" s="5" t="e">
        <f t="shared" si="4"/>
        <v>#REF!</v>
      </c>
      <c r="K53" s="5" t="e">
        <f t="shared" si="4"/>
        <v>#REF!</v>
      </c>
      <c r="L53" s="5" t="e">
        <f t="shared" si="4"/>
        <v>#REF!</v>
      </c>
      <c r="M53" s="5" t="e">
        <f t="shared" si="4"/>
        <v>#REF!</v>
      </c>
      <c r="N53" s="5" t="e">
        <f>F53+H53+J53+L53</f>
        <v>#REF!</v>
      </c>
    </row>
    <row r="55" spans="1:17" x14ac:dyDescent="0.2">
      <c r="A55">
        <v>3</v>
      </c>
      <c r="B55" s="3" t="s">
        <v>29</v>
      </c>
      <c r="E55" s="14" t="s">
        <v>32</v>
      </c>
      <c r="F55" s="14" t="s">
        <v>33</v>
      </c>
      <c r="G55" s="14" t="s">
        <v>20</v>
      </c>
      <c r="H55" s="14" t="s">
        <v>34</v>
      </c>
      <c r="I55" s="14" t="s">
        <v>5</v>
      </c>
      <c r="J55" s="14" t="s">
        <v>25</v>
      </c>
      <c r="K55" s="19" t="s">
        <v>4</v>
      </c>
    </row>
    <row r="56" spans="1:17" x14ac:dyDescent="0.2">
      <c r="C56" t="s">
        <v>30</v>
      </c>
      <c r="E56" s="7" t="e">
        <f>N11-F56</f>
        <v>#REF!</v>
      </c>
      <c r="F56" s="7" t="e">
        <f>N9+20%*(N7+N8+N10)</f>
        <v>#REF!</v>
      </c>
      <c r="G56" s="7" t="e">
        <f>N17</f>
        <v>#REF!</v>
      </c>
      <c r="H56" s="7" t="e">
        <f>N23</f>
        <v>#REF!</v>
      </c>
      <c r="I56" s="7" t="e">
        <f>N29</f>
        <v>#REF!</v>
      </c>
      <c r="J56" s="7" t="e">
        <f>#REF!</f>
        <v>#REF!</v>
      </c>
      <c r="K56" s="10" t="e">
        <f>SUM(E56:J56)</f>
        <v>#REF!</v>
      </c>
    </row>
    <row r="57" spans="1:17" x14ac:dyDescent="0.2">
      <c r="C57" t="s">
        <v>31</v>
      </c>
      <c r="E57" s="8" t="e">
        <f t="shared" ref="E57:J57" si="5">E56-E58</f>
        <v>#REF!</v>
      </c>
      <c r="F57" s="8" t="e">
        <f t="shared" si="5"/>
        <v>#REF!</v>
      </c>
      <c r="G57" s="8" t="e">
        <f t="shared" si="5"/>
        <v>#REF!</v>
      </c>
      <c r="H57" s="8" t="e">
        <f t="shared" si="5"/>
        <v>#REF!</v>
      </c>
      <c r="I57" s="8" t="e">
        <f t="shared" si="5"/>
        <v>#REF!</v>
      </c>
      <c r="J57" s="8" t="e">
        <f t="shared" si="5"/>
        <v>#REF!</v>
      </c>
      <c r="K57" s="11" t="e">
        <f>SUM(E57:J57)</f>
        <v>#REF!</v>
      </c>
    </row>
    <row r="58" spans="1:17" x14ac:dyDescent="0.2">
      <c r="C58" t="s">
        <v>36</v>
      </c>
      <c r="E58" s="9" t="e">
        <f>E59*E56</f>
        <v>#REF!</v>
      </c>
      <c r="F58" s="9" t="e">
        <f>F59*F56</f>
        <v>#REF!</v>
      </c>
      <c r="G58" s="9" t="e">
        <f>G59*G56</f>
        <v>#REF!</v>
      </c>
      <c r="H58" s="9" t="e">
        <f>#REF!*H56</f>
        <v>#REF!</v>
      </c>
      <c r="I58" s="9" t="e">
        <f>#REF!*I56</f>
        <v>#REF!</v>
      </c>
      <c r="J58" s="9" t="e">
        <f>#REF!*J56</f>
        <v>#REF!</v>
      </c>
      <c r="K58" s="5" t="e">
        <f>SUM(E58:J58)</f>
        <v>#REF!</v>
      </c>
    </row>
    <row r="59" spans="1:17" x14ac:dyDescent="0.2">
      <c r="C59" t="s">
        <v>37</v>
      </c>
      <c r="E59" s="12">
        <v>0.27</v>
      </c>
      <c r="F59" s="12">
        <v>0.27</v>
      </c>
      <c r="G59" s="12">
        <v>0.5</v>
      </c>
      <c r="H59" s="12" t="e">
        <f>#REF!</f>
        <v>#REF!</v>
      </c>
      <c r="I59" s="12" t="e">
        <f>#REF!</f>
        <v>#REF!</v>
      </c>
      <c r="J59" s="12" t="e">
        <f>#REF!</f>
        <v>#REF!</v>
      </c>
      <c r="K59" s="13" t="e">
        <f>K58/K56</f>
        <v>#REF!</v>
      </c>
    </row>
  </sheetData>
  <mergeCells count="10">
    <mergeCell ref="M4:N4"/>
    <mergeCell ref="E45:F45"/>
    <mergeCell ref="G45:H45"/>
    <mergeCell ref="I45:J45"/>
    <mergeCell ref="K45:L45"/>
    <mergeCell ref="M45:N45"/>
    <mergeCell ref="E4:F4"/>
    <mergeCell ref="G4:H4"/>
    <mergeCell ref="I4:J4"/>
    <mergeCell ref="K4:L4"/>
  </mergeCells>
  <phoneticPr fontId="3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0"/>
  <sheetViews>
    <sheetView zoomScale="40" zoomScaleNormal="40" workbookViewId="0">
      <selection activeCell="K8" sqref="K8"/>
    </sheetView>
  </sheetViews>
  <sheetFormatPr defaultRowHeight="12.75" x14ac:dyDescent="0.2"/>
  <cols>
    <col min="1" max="1" width="37.7109375" customWidth="1"/>
    <col min="2" max="2" width="22.5703125" customWidth="1"/>
    <col min="3" max="3" width="25.140625" bestFit="1" customWidth="1"/>
    <col min="4" max="4" width="25.28515625" bestFit="1" customWidth="1"/>
    <col min="5" max="5" width="25.85546875" customWidth="1"/>
    <col min="6" max="6" width="21.7109375" customWidth="1"/>
    <col min="7" max="7" width="25.5703125" customWidth="1"/>
    <col min="8" max="8" width="24" customWidth="1"/>
    <col min="9" max="9" width="23.7109375" customWidth="1"/>
    <col min="10" max="10" width="24.140625" customWidth="1"/>
    <col min="11" max="11" width="28.42578125" customWidth="1"/>
    <col min="12" max="12" width="23.42578125" customWidth="1"/>
    <col min="13" max="13" width="26.140625" customWidth="1"/>
    <col min="14" max="14" width="24" customWidth="1"/>
    <col min="15" max="15" width="28.140625" bestFit="1" customWidth="1"/>
  </cols>
  <sheetData>
    <row r="1" spans="1:14" ht="23.25" x14ac:dyDescent="0.35">
      <c r="A1" s="38" t="s">
        <v>124</v>
      </c>
    </row>
    <row r="2" spans="1:14" ht="14.25" x14ac:dyDescent="0.2">
      <c r="A2" s="21"/>
    </row>
    <row r="3" spans="1:14" ht="41.25" customHeight="1" x14ac:dyDescent="0.2">
      <c r="A3" s="51" t="s">
        <v>40</v>
      </c>
      <c r="B3" s="52" t="s">
        <v>160</v>
      </c>
      <c r="C3" s="52" t="s">
        <v>157</v>
      </c>
      <c r="D3" s="52" t="s">
        <v>167</v>
      </c>
      <c r="E3" s="52" t="s">
        <v>159</v>
      </c>
      <c r="F3" s="52" t="s">
        <v>154</v>
      </c>
      <c r="G3" s="52" t="s">
        <v>172</v>
      </c>
      <c r="H3" s="52" t="s">
        <v>150</v>
      </c>
      <c r="I3" s="52" t="s">
        <v>141</v>
      </c>
      <c r="J3" s="52" t="s">
        <v>58</v>
      </c>
      <c r="K3" s="52" t="s">
        <v>59</v>
      </c>
      <c r="L3" s="52" t="s">
        <v>126</v>
      </c>
      <c r="M3" s="52" t="s">
        <v>127</v>
      </c>
      <c r="N3" s="54" t="s">
        <v>93</v>
      </c>
    </row>
    <row r="4" spans="1:14" ht="135.75" customHeight="1" x14ac:dyDescent="0.2">
      <c r="A4" s="26"/>
      <c r="B4" s="27"/>
      <c r="C4" s="27"/>
      <c r="D4" s="27"/>
      <c r="E4" s="27"/>
      <c r="F4" s="27"/>
      <c r="G4" s="27"/>
      <c r="H4" s="27"/>
      <c r="I4" s="27"/>
      <c r="J4" s="28"/>
      <c r="K4" s="29"/>
      <c r="L4" s="29"/>
      <c r="M4" s="29"/>
      <c r="N4" s="56"/>
    </row>
    <row r="5" spans="1:14" s="20" customFormat="1" x14ac:dyDescent="0.2">
      <c r="A5" s="41" t="s">
        <v>67</v>
      </c>
      <c r="B5" s="42" t="s">
        <v>175</v>
      </c>
      <c r="C5" s="42" t="s">
        <v>89</v>
      </c>
      <c r="D5" s="42" t="s">
        <v>88</v>
      </c>
      <c r="E5" s="42" t="s">
        <v>176</v>
      </c>
      <c r="F5" s="42" t="s">
        <v>177</v>
      </c>
      <c r="G5" s="42" t="s">
        <v>177</v>
      </c>
      <c r="H5" s="42" t="s">
        <v>133</v>
      </c>
      <c r="I5" s="42" t="s">
        <v>136</v>
      </c>
      <c r="J5" s="46" t="s">
        <v>178</v>
      </c>
      <c r="K5" s="46" t="s">
        <v>178</v>
      </c>
      <c r="L5" s="46" t="s">
        <v>178</v>
      </c>
      <c r="M5" s="46" t="s">
        <v>178</v>
      </c>
      <c r="N5" s="57"/>
    </row>
    <row r="6" spans="1:14" s="20" customFormat="1" ht="43.5" customHeight="1" x14ac:dyDescent="0.2">
      <c r="A6" s="41" t="s">
        <v>64</v>
      </c>
      <c r="B6" s="34" t="s">
        <v>65</v>
      </c>
      <c r="C6" s="42" t="s">
        <v>168</v>
      </c>
      <c r="D6" s="34" t="s">
        <v>65</v>
      </c>
      <c r="E6" s="42" t="s">
        <v>168</v>
      </c>
      <c r="F6" s="34" t="s">
        <v>65</v>
      </c>
      <c r="G6" s="42" t="s">
        <v>168</v>
      </c>
      <c r="H6" s="34" t="s">
        <v>146</v>
      </c>
      <c r="I6" s="34" t="s">
        <v>65</v>
      </c>
      <c r="J6" s="45" t="s">
        <v>120</v>
      </c>
      <c r="K6" s="45" t="s">
        <v>120</v>
      </c>
      <c r="L6" s="45" t="s">
        <v>120</v>
      </c>
      <c r="M6" s="45" t="s">
        <v>120</v>
      </c>
      <c r="N6" s="58" t="s">
        <v>94</v>
      </c>
    </row>
    <row r="7" spans="1:14" ht="42.75" customHeight="1" x14ac:dyDescent="0.2">
      <c r="A7" s="33" t="s">
        <v>66</v>
      </c>
      <c r="B7" s="34" t="s">
        <v>52</v>
      </c>
      <c r="C7" s="34" t="s">
        <v>52</v>
      </c>
      <c r="D7" s="34" t="s">
        <v>52</v>
      </c>
      <c r="E7" s="34" t="s">
        <v>52</v>
      </c>
      <c r="F7" s="34" t="s">
        <v>52</v>
      </c>
      <c r="G7" s="34" t="s">
        <v>52</v>
      </c>
      <c r="H7" s="34" t="s">
        <v>52</v>
      </c>
      <c r="I7" s="34" t="s">
        <v>52</v>
      </c>
      <c r="J7" s="45" t="s">
        <v>52</v>
      </c>
      <c r="K7" s="45" t="s">
        <v>52</v>
      </c>
      <c r="L7" s="45" t="s">
        <v>52</v>
      </c>
      <c r="M7" s="45" t="s">
        <v>52</v>
      </c>
      <c r="N7" s="58" t="s">
        <v>95</v>
      </c>
    </row>
    <row r="8" spans="1:14" ht="45" customHeight="1" x14ac:dyDescent="0.2">
      <c r="A8" s="33" t="s">
        <v>98</v>
      </c>
      <c r="B8" s="42" t="s">
        <v>163</v>
      </c>
      <c r="C8" s="42" t="s">
        <v>163</v>
      </c>
      <c r="D8" s="42" t="s">
        <v>68</v>
      </c>
      <c r="E8" s="42" t="s">
        <v>173</v>
      </c>
      <c r="F8" s="42" t="s">
        <v>70</v>
      </c>
      <c r="G8" s="42" t="s">
        <v>173</v>
      </c>
      <c r="H8" s="46" t="s">
        <v>142</v>
      </c>
      <c r="I8" s="46" t="s">
        <v>137</v>
      </c>
      <c r="J8" s="46" t="s">
        <v>143</v>
      </c>
      <c r="K8" s="46" t="s">
        <v>143</v>
      </c>
      <c r="L8" s="46" t="s">
        <v>143</v>
      </c>
      <c r="M8" s="46" t="s">
        <v>143</v>
      </c>
      <c r="N8" s="58" t="s">
        <v>108</v>
      </c>
    </row>
    <row r="9" spans="1:14" x14ac:dyDescent="0.2">
      <c r="A9" s="53" t="s">
        <v>65</v>
      </c>
      <c r="B9" s="40"/>
      <c r="C9" s="40"/>
      <c r="D9" s="40"/>
      <c r="E9" s="40"/>
      <c r="F9" s="40"/>
      <c r="G9" s="40"/>
      <c r="H9" s="40"/>
      <c r="I9" s="40"/>
      <c r="J9" s="47"/>
      <c r="K9" s="47"/>
      <c r="L9" s="47"/>
      <c r="M9" s="47"/>
      <c r="N9" s="55"/>
    </row>
    <row r="10" spans="1:14" x14ac:dyDescent="0.2">
      <c r="A10" s="33" t="s">
        <v>99</v>
      </c>
      <c r="B10" s="42" t="s">
        <v>105</v>
      </c>
      <c r="C10" s="42" t="s">
        <v>105</v>
      </c>
      <c r="D10" s="42" t="s">
        <v>105</v>
      </c>
      <c r="E10" s="42" t="s">
        <v>105</v>
      </c>
      <c r="F10" s="42" t="s">
        <v>105</v>
      </c>
      <c r="G10" s="42" t="s">
        <v>105</v>
      </c>
      <c r="H10" s="42" t="s">
        <v>105</v>
      </c>
      <c r="I10" s="42" t="s">
        <v>105</v>
      </c>
      <c r="J10" s="46" t="s">
        <v>105</v>
      </c>
      <c r="K10" s="46" t="s">
        <v>105</v>
      </c>
      <c r="L10" s="46" t="s">
        <v>105</v>
      </c>
      <c r="M10" s="46" t="s">
        <v>105</v>
      </c>
      <c r="N10" s="59"/>
    </row>
    <row r="11" spans="1:14" ht="33.75" customHeight="1" x14ac:dyDescent="0.2">
      <c r="A11" s="33" t="s">
        <v>100</v>
      </c>
      <c r="B11" s="32">
        <v>2</v>
      </c>
      <c r="C11" s="32">
        <v>1</v>
      </c>
      <c r="D11" s="32">
        <v>5</v>
      </c>
      <c r="E11" s="32">
        <v>1</v>
      </c>
      <c r="F11" s="42" t="s">
        <v>51</v>
      </c>
      <c r="G11" s="32">
        <v>1</v>
      </c>
      <c r="H11" s="42" t="s">
        <v>51</v>
      </c>
      <c r="I11" s="42" t="s">
        <v>51</v>
      </c>
      <c r="J11" s="48">
        <f>Table3[[#Totals],[Labdisc Enviro]]</f>
        <v>12</v>
      </c>
      <c r="K11" s="49">
        <f>Table3[[#Totals],[Labdisc GenSci]]</f>
        <v>13</v>
      </c>
      <c r="L11" s="49">
        <f>'LabDisc Pricing'!L31</f>
        <v>11</v>
      </c>
      <c r="M11" s="49">
        <f>'LabDisc Pricing'!M31</f>
        <v>14</v>
      </c>
      <c r="N11" s="58" t="s">
        <v>109</v>
      </c>
    </row>
    <row r="12" spans="1:14" x14ac:dyDescent="0.2">
      <c r="A12" s="43" t="s">
        <v>74</v>
      </c>
      <c r="B12" s="44" t="s">
        <v>75</v>
      </c>
      <c r="C12" s="44" t="s">
        <v>75</v>
      </c>
      <c r="D12" s="44" t="s">
        <v>76</v>
      </c>
      <c r="E12" s="44" t="s">
        <v>75</v>
      </c>
      <c r="F12" s="44" t="s">
        <v>77</v>
      </c>
      <c r="G12" s="44" t="s">
        <v>77</v>
      </c>
      <c r="H12" s="44" t="s">
        <v>75</v>
      </c>
      <c r="I12" s="44" t="s">
        <v>75</v>
      </c>
      <c r="J12" s="50" t="s">
        <v>75</v>
      </c>
      <c r="K12" s="50" t="s">
        <v>75</v>
      </c>
      <c r="L12" s="50" t="s">
        <v>75</v>
      </c>
      <c r="M12" s="50" t="s">
        <v>75</v>
      </c>
      <c r="N12" s="60"/>
    </row>
    <row r="13" spans="1:14" x14ac:dyDescent="0.2">
      <c r="A13" s="33" t="s">
        <v>101</v>
      </c>
      <c r="B13" s="48" t="s">
        <v>52</v>
      </c>
      <c r="C13" s="48" t="s">
        <v>51</v>
      </c>
      <c r="D13" s="48" t="s">
        <v>52</v>
      </c>
      <c r="E13" s="48" t="s">
        <v>51</v>
      </c>
      <c r="F13" s="48" t="s">
        <v>52</v>
      </c>
      <c r="G13" s="48" t="s">
        <v>51</v>
      </c>
      <c r="H13" s="48" t="s">
        <v>52</v>
      </c>
      <c r="I13" s="48" t="s">
        <v>52</v>
      </c>
      <c r="J13" s="48" t="s">
        <v>52</v>
      </c>
      <c r="K13" s="48" t="s">
        <v>52</v>
      </c>
      <c r="L13" s="48" t="s">
        <v>52</v>
      </c>
      <c r="M13" s="48" t="s">
        <v>52</v>
      </c>
      <c r="N13" s="59"/>
    </row>
    <row r="14" spans="1:14" x14ac:dyDescent="0.2">
      <c r="A14" s="33" t="s">
        <v>102</v>
      </c>
      <c r="B14" s="42" t="s">
        <v>52</v>
      </c>
      <c r="C14" s="48" t="s">
        <v>51</v>
      </c>
      <c r="D14" s="42" t="s">
        <v>51</v>
      </c>
      <c r="E14" s="48" t="s">
        <v>51</v>
      </c>
      <c r="F14" s="42" t="s">
        <v>52</v>
      </c>
      <c r="G14" s="42" t="s">
        <v>52</v>
      </c>
      <c r="H14" s="67" t="s">
        <v>52</v>
      </c>
      <c r="I14" s="15" t="s">
        <v>51</v>
      </c>
      <c r="J14" s="48" t="s">
        <v>52</v>
      </c>
      <c r="K14" s="48" t="s">
        <v>52</v>
      </c>
      <c r="L14" s="48" t="s">
        <v>52</v>
      </c>
      <c r="M14" s="48" t="s">
        <v>52</v>
      </c>
      <c r="N14" s="59"/>
    </row>
    <row r="15" spans="1:14" ht="29.25" customHeight="1" x14ac:dyDescent="0.2">
      <c r="A15" s="33" t="s">
        <v>92</v>
      </c>
      <c r="B15" s="42" t="s">
        <v>52</v>
      </c>
      <c r="C15" s="42" t="s">
        <v>51</v>
      </c>
      <c r="D15" s="42" t="s">
        <v>52</v>
      </c>
      <c r="E15" s="42" t="s">
        <v>51</v>
      </c>
      <c r="F15" s="42" t="s">
        <v>51</v>
      </c>
      <c r="G15" s="42" t="s">
        <v>51</v>
      </c>
      <c r="H15" s="42" t="s">
        <v>51</v>
      </c>
      <c r="I15" s="42" t="s">
        <v>51</v>
      </c>
      <c r="J15" s="48" t="s">
        <v>52</v>
      </c>
      <c r="K15" s="48" t="s">
        <v>52</v>
      </c>
      <c r="L15" s="48" t="s">
        <v>52</v>
      </c>
      <c r="M15" s="48" t="s">
        <v>52</v>
      </c>
      <c r="N15" s="58" t="s">
        <v>96</v>
      </c>
    </row>
    <row r="16" spans="1:14" x14ac:dyDescent="0.2">
      <c r="A16" s="33" t="s">
        <v>5</v>
      </c>
      <c r="B16" s="42" t="s">
        <v>86</v>
      </c>
      <c r="C16" s="42" t="s">
        <v>164</v>
      </c>
      <c r="D16" s="42" t="s">
        <v>169</v>
      </c>
      <c r="E16" s="42" t="s">
        <v>169</v>
      </c>
      <c r="F16" s="42" t="s">
        <v>171</v>
      </c>
      <c r="G16" s="42" t="s">
        <v>171</v>
      </c>
      <c r="H16" s="42" t="s">
        <v>144</v>
      </c>
      <c r="I16" s="42" t="s">
        <v>147</v>
      </c>
      <c r="J16" s="48" t="s">
        <v>73</v>
      </c>
      <c r="K16" s="48" t="s">
        <v>73</v>
      </c>
      <c r="L16" s="48" t="s">
        <v>73</v>
      </c>
      <c r="M16" s="48" t="s">
        <v>73</v>
      </c>
      <c r="N16" s="59"/>
    </row>
    <row r="17" spans="1:14" x14ac:dyDescent="0.2">
      <c r="A17" s="53" t="s">
        <v>61</v>
      </c>
      <c r="B17" s="40"/>
      <c r="C17" s="40"/>
      <c r="D17" s="40"/>
      <c r="E17" s="40"/>
      <c r="F17" s="40"/>
      <c r="G17" s="40"/>
      <c r="H17" s="40"/>
      <c r="I17" s="40"/>
      <c r="J17" s="47"/>
      <c r="K17" s="47"/>
      <c r="L17" s="47"/>
      <c r="M17" s="47"/>
      <c r="N17" s="55"/>
    </row>
    <row r="18" spans="1:14" ht="42" customHeight="1" x14ac:dyDescent="0.2">
      <c r="A18" s="33" t="s">
        <v>82</v>
      </c>
      <c r="B18" s="34" t="s">
        <v>125</v>
      </c>
      <c r="C18" s="42" t="s">
        <v>165</v>
      </c>
      <c r="D18" s="34" t="s">
        <v>125</v>
      </c>
      <c r="E18" s="42" t="s">
        <v>165</v>
      </c>
      <c r="F18" s="34" t="s">
        <v>51</v>
      </c>
      <c r="G18" s="42" t="s">
        <v>165</v>
      </c>
      <c r="H18" s="34" t="s">
        <v>51</v>
      </c>
      <c r="I18" s="34" t="s">
        <v>138</v>
      </c>
      <c r="J18" s="48" t="s">
        <v>91</v>
      </c>
      <c r="K18" s="48" t="s">
        <v>91</v>
      </c>
      <c r="L18" s="48" t="s">
        <v>91</v>
      </c>
      <c r="M18" s="48" t="s">
        <v>91</v>
      </c>
      <c r="N18" s="58" t="s">
        <v>83</v>
      </c>
    </row>
    <row r="19" spans="1:14" x14ac:dyDescent="0.2">
      <c r="A19" s="33" t="s">
        <v>103</v>
      </c>
      <c r="B19" s="42" t="s">
        <v>78</v>
      </c>
      <c r="C19" s="42" t="s">
        <v>78</v>
      </c>
      <c r="D19" s="42" t="s">
        <v>78</v>
      </c>
      <c r="E19" s="42" t="s">
        <v>78</v>
      </c>
      <c r="F19" s="42" t="s">
        <v>78</v>
      </c>
      <c r="G19" s="42" t="s">
        <v>78</v>
      </c>
      <c r="H19" s="42" t="s">
        <v>78</v>
      </c>
      <c r="I19" s="42" t="s">
        <v>78</v>
      </c>
      <c r="J19" s="48" t="s">
        <v>79</v>
      </c>
      <c r="K19" s="48" t="s">
        <v>79</v>
      </c>
      <c r="L19" s="48" t="s">
        <v>79</v>
      </c>
      <c r="M19" s="48" t="s">
        <v>79</v>
      </c>
      <c r="N19" s="59"/>
    </row>
    <row r="20" spans="1:14" x14ac:dyDescent="0.2">
      <c r="A20" s="33" t="s">
        <v>80</v>
      </c>
      <c r="B20" s="42" t="s">
        <v>87</v>
      </c>
      <c r="C20" s="42" t="s">
        <v>87</v>
      </c>
      <c r="D20" s="48" t="s">
        <v>81</v>
      </c>
      <c r="E20" s="48" t="s">
        <v>81</v>
      </c>
      <c r="F20" s="42" t="s">
        <v>90</v>
      </c>
      <c r="G20" s="42" t="s">
        <v>90</v>
      </c>
      <c r="H20" s="42" t="s">
        <v>51</v>
      </c>
      <c r="I20" s="42" t="s">
        <v>139</v>
      </c>
      <c r="J20" s="48" t="s">
        <v>81</v>
      </c>
      <c r="K20" s="48" t="s">
        <v>81</v>
      </c>
      <c r="L20" s="48" t="s">
        <v>81</v>
      </c>
      <c r="M20" s="48" t="s">
        <v>81</v>
      </c>
      <c r="N20" s="58"/>
    </row>
    <row r="21" spans="1:14" ht="52.5" customHeight="1" x14ac:dyDescent="0.2">
      <c r="A21" s="33" t="s">
        <v>60</v>
      </c>
      <c r="B21" s="42" t="s">
        <v>71</v>
      </c>
      <c r="C21" s="42" t="s">
        <v>71</v>
      </c>
      <c r="D21" s="42" t="s">
        <v>170</v>
      </c>
      <c r="E21" s="42" t="s">
        <v>170</v>
      </c>
      <c r="F21" s="42" t="s">
        <v>107</v>
      </c>
      <c r="G21" s="42" t="s">
        <v>107</v>
      </c>
      <c r="H21" s="42" t="s">
        <v>145</v>
      </c>
      <c r="I21" s="42" t="s">
        <v>140</v>
      </c>
      <c r="J21" s="49" t="s">
        <v>106</v>
      </c>
      <c r="K21" s="49" t="s">
        <v>106</v>
      </c>
      <c r="L21" s="49" t="s">
        <v>106</v>
      </c>
      <c r="M21" s="49" t="s">
        <v>106</v>
      </c>
      <c r="N21" s="58" t="s">
        <v>97</v>
      </c>
    </row>
    <row r="22" spans="1:14" x14ac:dyDescent="0.2">
      <c r="A22" s="53" t="s">
        <v>104</v>
      </c>
      <c r="B22" s="40"/>
      <c r="C22" s="40"/>
      <c r="D22" s="40"/>
      <c r="E22" s="40"/>
      <c r="F22" s="40"/>
      <c r="G22" s="40"/>
      <c r="H22" s="40"/>
      <c r="I22" s="40"/>
      <c r="J22" s="47"/>
      <c r="K22" s="47"/>
      <c r="L22" s="47"/>
      <c r="M22" s="47"/>
      <c r="N22" s="55"/>
    </row>
    <row r="23" spans="1:14" ht="31.5" customHeight="1" x14ac:dyDescent="0.2">
      <c r="A23" s="33" t="s">
        <v>62</v>
      </c>
      <c r="B23" s="76" t="s">
        <v>161</v>
      </c>
      <c r="C23" s="77" t="s">
        <v>166</v>
      </c>
      <c r="D23" s="32" t="s">
        <v>123</v>
      </c>
      <c r="E23" s="77" t="s">
        <v>166</v>
      </c>
      <c r="F23" s="32" t="s">
        <v>122</v>
      </c>
      <c r="G23" s="77" t="s">
        <v>166</v>
      </c>
      <c r="H23" s="32" t="s">
        <v>152</v>
      </c>
      <c r="I23" s="32" t="s">
        <v>148</v>
      </c>
      <c r="J23" s="49" t="s">
        <v>121</v>
      </c>
      <c r="K23" s="49" t="s">
        <v>121</v>
      </c>
      <c r="L23" s="49" t="s">
        <v>121</v>
      </c>
      <c r="M23" s="49" t="s">
        <v>121</v>
      </c>
      <c r="N23" s="58" t="s">
        <v>85</v>
      </c>
    </row>
    <row r="24" spans="1:14" ht="25.5" customHeight="1" x14ac:dyDescent="0.2">
      <c r="A24" s="33" t="s">
        <v>63</v>
      </c>
      <c r="B24" s="39" t="s">
        <v>162</v>
      </c>
      <c r="C24" s="39" t="s">
        <v>166</v>
      </c>
      <c r="D24" s="75" t="s">
        <v>72</v>
      </c>
      <c r="E24" s="39" t="s">
        <v>166</v>
      </c>
      <c r="F24" s="39" t="s">
        <v>69</v>
      </c>
      <c r="G24" s="39" t="s">
        <v>166</v>
      </c>
      <c r="H24" s="39" t="s">
        <v>152</v>
      </c>
      <c r="I24" s="39" t="s">
        <v>149</v>
      </c>
      <c r="J24" s="48" t="s">
        <v>132</v>
      </c>
      <c r="K24" s="48" t="s">
        <v>132</v>
      </c>
      <c r="L24" s="48" t="s">
        <v>132</v>
      </c>
      <c r="M24" s="48" t="s">
        <v>132</v>
      </c>
      <c r="N24" s="58" t="s">
        <v>84</v>
      </c>
    </row>
    <row r="25" spans="1:14" ht="15.75" x14ac:dyDescent="0.25">
      <c r="C25" s="74"/>
      <c r="D25" s="24"/>
      <c r="E25" s="24"/>
      <c r="F25" s="24"/>
      <c r="G25" s="23"/>
    </row>
    <row r="26" spans="1:14" ht="15.75" x14ac:dyDescent="0.25">
      <c r="D26" s="24"/>
      <c r="E26" s="24"/>
      <c r="F26" s="24"/>
    </row>
    <row r="27" spans="1:14" ht="15.75" x14ac:dyDescent="0.25">
      <c r="D27" s="24"/>
      <c r="E27" s="24"/>
      <c r="F27" s="24"/>
    </row>
    <row r="28" spans="1:14" ht="15.75" x14ac:dyDescent="0.25">
      <c r="D28" s="24"/>
      <c r="E28" s="24"/>
      <c r="F28" s="24"/>
    </row>
    <row r="29" spans="1:14" ht="15.75" x14ac:dyDescent="0.25">
      <c r="D29" s="24"/>
      <c r="E29" s="24"/>
      <c r="F29" s="24"/>
    </row>
    <row r="30" spans="1:14" ht="15.75" x14ac:dyDescent="0.25">
      <c r="D30" s="24"/>
      <c r="E30" s="24"/>
      <c r="F30" s="24"/>
    </row>
  </sheetData>
  <phoneticPr fontId="23" type="noConversion"/>
  <pageMargins left="0.7" right="0.7" top="0.75" bottom="0.75" header="0.3" footer="0.3"/>
  <pageSetup paperSize="9" orientation="portrait" r:id="rId1"/>
  <drawing r:id="rId2"/>
  <legacyDrawing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44"/>
  <sheetViews>
    <sheetView tabSelected="1" topLeftCell="C1" zoomScale="87" zoomScaleNormal="115" workbookViewId="0">
      <selection activeCell="E27" sqref="E27"/>
    </sheetView>
  </sheetViews>
  <sheetFormatPr defaultRowHeight="12.75" x14ac:dyDescent="0.2"/>
  <cols>
    <col min="1" max="1" width="37.7109375" customWidth="1"/>
    <col min="2" max="2" width="24.28515625" customWidth="1"/>
    <col min="3" max="3" width="21.7109375" customWidth="1"/>
    <col min="4" max="6" width="24.42578125" customWidth="1"/>
    <col min="7" max="7" width="23.28515625" customWidth="1"/>
    <col min="8" max="8" width="24" customWidth="1"/>
    <col min="9" max="9" width="25.28515625" customWidth="1"/>
    <col min="10" max="10" width="21.7109375" customWidth="1"/>
    <col min="11" max="11" width="21.5703125" bestFit="1" customWidth="1"/>
    <col min="12" max="12" width="22.28515625" customWidth="1"/>
    <col min="13" max="13" width="21.140625" customWidth="1"/>
  </cols>
  <sheetData>
    <row r="1" spans="1:13" ht="23.25" x14ac:dyDescent="0.35">
      <c r="A1" s="38" t="s">
        <v>153</v>
      </c>
    </row>
    <row r="2" spans="1:13" ht="14.25" x14ac:dyDescent="0.2">
      <c r="A2" s="21"/>
    </row>
    <row r="3" spans="1:13" ht="41.25" customHeight="1" x14ac:dyDescent="0.2">
      <c r="A3" s="66" t="s">
        <v>40</v>
      </c>
      <c r="B3" s="52" t="s">
        <v>156</v>
      </c>
      <c r="C3" s="68" t="s">
        <v>157</v>
      </c>
      <c r="D3" s="52" t="s">
        <v>158</v>
      </c>
      <c r="E3" s="52" t="s">
        <v>159</v>
      </c>
      <c r="F3" s="52" t="s">
        <v>155</v>
      </c>
      <c r="G3" s="52" t="s">
        <v>174</v>
      </c>
      <c r="H3" s="52" t="s">
        <v>151</v>
      </c>
      <c r="I3" s="52" t="s">
        <v>134</v>
      </c>
      <c r="J3" s="52" t="s">
        <v>58</v>
      </c>
      <c r="K3" s="52" t="s">
        <v>59</v>
      </c>
      <c r="L3" s="68" t="s">
        <v>126</v>
      </c>
      <c r="M3" s="68" t="s">
        <v>127</v>
      </c>
    </row>
    <row r="4" spans="1:13" ht="134.25" customHeight="1" x14ac:dyDescent="0.2">
      <c r="A4" s="26"/>
      <c r="B4" s="27"/>
      <c r="C4" s="27"/>
      <c r="D4" s="27"/>
      <c r="E4" s="27"/>
      <c r="F4" s="27"/>
      <c r="G4" s="27"/>
      <c r="H4" s="27"/>
      <c r="I4" s="27"/>
      <c r="J4" s="28"/>
      <c r="K4" s="29"/>
      <c r="L4" s="63"/>
      <c r="M4" s="63"/>
    </row>
    <row r="5" spans="1:13" x14ac:dyDescent="0.2">
      <c r="A5" s="30" t="s">
        <v>111</v>
      </c>
      <c r="B5" s="31">
        <v>399</v>
      </c>
      <c r="C5" s="31">
        <v>0</v>
      </c>
      <c r="D5" s="31">
        <v>449</v>
      </c>
      <c r="E5" s="31">
        <v>0</v>
      </c>
      <c r="F5" s="31">
        <v>222</v>
      </c>
      <c r="G5" s="31">
        <v>0</v>
      </c>
      <c r="H5" s="31">
        <f>168+64</f>
        <v>232</v>
      </c>
      <c r="I5" s="31">
        <v>339</v>
      </c>
      <c r="J5" s="32">
        <v>1</v>
      </c>
      <c r="K5" s="32">
        <v>1</v>
      </c>
      <c r="L5" s="67">
        <v>1</v>
      </c>
      <c r="M5" s="67">
        <v>1</v>
      </c>
    </row>
    <row r="6" spans="1:13" x14ac:dyDescent="0.2">
      <c r="A6" s="35"/>
      <c r="B6" s="31"/>
      <c r="C6" s="31"/>
      <c r="D6" s="31"/>
      <c r="E6" s="31"/>
      <c r="F6" s="31"/>
      <c r="G6" s="31"/>
      <c r="H6" s="31"/>
      <c r="I6" s="31"/>
      <c r="J6" s="32"/>
      <c r="K6" s="32"/>
      <c r="L6" s="64"/>
      <c r="M6" s="64"/>
    </row>
    <row r="7" spans="1:13" x14ac:dyDescent="0.2">
      <c r="A7" s="36" t="s">
        <v>41</v>
      </c>
      <c r="B7" s="31"/>
      <c r="C7" s="31"/>
      <c r="D7" s="31"/>
      <c r="E7" s="31"/>
      <c r="F7" s="31"/>
      <c r="G7" s="31"/>
      <c r="H7" s="31"/>
      <c r="I7" s="31"/>
      <c r="J7" s="32"/>
      <c r="K7" s="32"/>
      <c r="L7" s="64"/>
      <c r="M7" s="64"/>
    </row>
    <row r="8" spans="1:13" x14ac:dyDescent="0.2">
      <c r="A8" s="30" t="s">
        <v>42</v>
      </c>
      <c r="B8" s="70">
        <v>49</v>
      </c>
      <c r="C8" s="31">
        <v>79</v>
      </c>
      <c r="D8" s="31">
        <v>159</v>
      </c>
      <c r="E8" s="31">
        <v>89</v>
      </c>
      <c r="F8" s="31">
        <v>61</v>
      </c>
      <c r="G8" s="31">
        <v>193</v>
      </c>
      <c r="H8" s="31">
        <v>45</v>
      </c>
      <c r="I8" s="31">
        <v>292</v>
      </c>
      <c r="J8" s="32"/>
      <c r="K8" s="32">
        <v>1</v>
      </c>
      <c r="L8" s="32">
        <v>1</v>
      </c>
      <c r="M8" s="32"/>
    </row>
    <row r="9" spans="1:13" x14ac:dyDescent="0.2">
      <c r="A9" s="30" t="s">
        <v>43</v>
      </c>
      <c r="B9" s="70">
        <v>49</v>
      </c>
      <c r="C9" s="31">
        <v>89</v>
      </c>
      <c r="D9" s="31">
        <v>0</v>
      </c>
      <c r="E9" s="31">
        <v>99</v>
      </c>
      <c r="F9" s="31">
        <v>70</v>
      </c>
      <c r="G9" s="31">
        <v>0</v>
      </c>
      <c r="H9" s="31">
        <v>93</v>
      </c>
      <c r="I9" s="31">
        <f t="shared" ref="I9:I11" si="0">150*1.17/0.6</f>
        <v>292.5</v>
      </c>
      <c r="J9" s="32"/>
      <c r="K9" s="32">
        <v>1</v>
      </c>
      <c r="L9" s="32">
        <v>1</v>
      </c>
      <c r="M9" s="32"/>
    </row>
    <row r="10" spans="1:13" x14ac:dyDescent="0.2">
      <c r="A10" s="30" t="s">
        <v>112</v>
      </c>
      <c r="B10" s="31">
        <v>69</v>
      </c>
      <c r="C10" s="31">
        <v>89</v>
      </c>
      <c r="D10" s="31">
        <v>99</v>
      </c>
      <c r="E10" s="31">
        <v>99</v>
      </c>
      <c r="F10" s="31">
        <v>86</v>
      </c>
      <c r="G10" s="31">
        <v>144</v>
      </c>
      <c r="H10" s="31">
        <v>55</v>
      </c>
      <c r="I10" s="31">
        <f t="shared" si="0"/>
        <v>292.5</v>
      </c>
      <c r="J10" s="32"/>
      <c r="K10" s="32">
        <v>1</v>
      </c>
      <c r="L10" s="32">
        <v>2</v>
      </c>
      <c r="M10" s="32">
        <v>1</v>
      </c>
    </row>
    <row r="11" spans="1:13" x14ac:dyDescent="0.2">
      <c r="A11" s="30" t="s">
        <v>44</v>
      </c>
      <c r="B11" s="31">
        <v>55</v>
      </c>
      <c r="C11" s="31">
        <v>79</v>
      </c>
      <c r="D11" s="31">
        <v>85</v>
      </c>
      <c r="E11" s="31">
        <v>0</v>
      </c>
      <c r="F11" s="31">
        <v>0</v>
      </c>
      <c r="G11" s="31">
        <v>0</v>
      </c>
      <c r="H11" s="31">
        <v>55</v>
      </c>
      <c r="I11" s="31">
        <f t="shared" si="0"/>
        <v>292.5</v>
      </c>
      <c r="J11" s="32"/>
      <c r="K11" s="32">
        <v>1</v>
      </c>
      <c r="L11" s="32">
        <v>1</v>
      </c>
      <c r="M11" s="32"/>
    </row>
    <row r="12" spans="1:13" x14ac:dyDescent="0.2">
      <c r="A12" s="43" t="s">
        <v>110</v>
      </c>
      <c r="B12" s="31">
        <v>69</v>
      </c>
      <c r="C12" s="31">
        <v>95</v>
      </c>
      <c r="D12" s="31">
        <v>149</v>
      </c>
      <c r="E12" s="31">
        <v>109</v>
      </c>
      <c r="F12" s="31">
        <v>90</v>
      </c>
      <c r="G12" s="31">
        <v>162</v>
      </c>
      <c r="H12" s="31">
        <v>110</v>
      </c>
      <c r="I12" s="31">
        <f>Table3[[#This Row],[Vernier LabQuest3]]*0.85*2</f>
        <v>117.3</v>
      </c>
      <c r="J12" s="32">
        <v>1</v>
      </c>
      <c r="K12" s="32">
        <v>1</v>
      </c>
      <c r="L12" s="32"/>
      <c r="M12" s="32"/>
    </row>
    <row r="13" spans="1:13" x14ac:dyDescent="0.2">
      <c r="A13" s="30" t="s">
        <v>45</v>
      </c>
      <c r="B13" s="31">
        <v>79</v>
      </c>
      <c r="C13" s="31">
        <v>0</v>
      </c>
      <c r="D13" s="31">
        <v>123</v>
      </c>
      <c r="E13" s="31">
        <v>109</v>
      </c>
      <c r="F13" s="31">
        <v>94</v>
      </c>
      <c r="G13" s="31">
        <v>0</v>
      </c>
      <c r="H13" s="31">
        <v>0</v>
      </c>
      <c r="I13" s="31">
        <f>I11</f>
        <v>292.5</v>
      </c>
      <c r="J13" s="32">
        <v>1</v>
      </c>
      <c r="K13" s="32"/>
      <c r="L13" s="32"/>
      <c r="M13" s="32">
        <v>1</v>
      </c>
    </row>
    <row r="14" spans="1:13" ht="13.5" customHeight="1" x14ac:dyDescent="0.2">
      <c r="A14" s="30" t="s">
        <v>129</v>
      </c>
      <c r="B14" s="70">
        <v>40</v>
      </c>
      <c r="C14" s="31">
        <v>78</v>
      </c>
      <c r="D14" s="31">
        <v>55</v>
      </c>
      <c r="E14" s="31">
        <v>69</v>
      </c>
      <c r="F14" s="31">
        <v>52</v>
      </c>
      <c r="G14" s="31">
        <v>106</v>
      </c>
      <c r="H14" s="31">
        <v>38</v>
      </c>
      <c r="I14" s="31">
        <f>240</f>
        <v>240</v>
      </c>
      <c r="J14" s="32">
        <v>1</v>
      </c>
      <c r="K14" s="32">
        <v>1</v>
      </c>
      <c r="L14" s="32">
        <v>1</v>
      </c>
      <c r="M14" s="32">
        <v>1</v>
      </c>
    </row>
    <row r="15" spans="1:13" x14ac:dyDescent="0.2">
      <c r="A15" s="30" t="s">
        <v>131</v>
      </c>
      <c r="B15" s="70">
        <v>119</v>
      </c>
      <c r="C15" s="31">
        <v>128</v>
      </c>
      <c r="D15" s="31">
        <v>55</v>
      </c>
      <c r="E15" s="31">
        <v>0</v>
      </c>
      <c r="F15" s="31">
        <v>0</v>
      </c>
      <c r="G15" s="31"/>
      <c r="H15" s="31">
        <v>0</v>
      </c>
      <c r="I15" s="31">
        <v>0</v>
      </c>
      <c r="J15" s="32">
        <v>1</v>
      </c>
      <c r="K15" s="32"/>
      <c r="L15" s="32"/>
      <c r="M15" s="32"/>
    </row>
    <row r="16" spans="1:13" x14ac:dyDescent="0.2">
      <c r="A16" s="43" t="s">
        <v>130</v>
      </c>
      <c r="B16" s="70">
        <v>79</v>
      </c>
      <c r="C16" s="31">
        <v>107</v>
      </c>
      <c r="D16" s="31">
        <v>259</v>
      </c>
      <c r="E16" s="31">
        <v>0</v>
      </c>
      <c r="F16" s="31">
        <v>113</v>
      </c>
      <c r="G16" s="31">
        <v>174</v>
      </c>
      <c r="H16" s="31">
        <v>30</v>
      </c>
      <c r="I16" s="31">
        <f>260</f>
        <v>260</v>
      </c>
      <c r="J16" s="32"/>
      <c r="K16" s="32"/>
      <c r="L16" s="32"/>
      <c r="M16" s="32">
        <v>1</v>
      </c>
    </row>
    <row r="17" spans="1:13" x14ac:dyDescent="0.2">
      <c r="A17" s="30" t="s">
        <v>49</v>
      </c>
      <c r="B17" s="70">
        <v>110</v>
      </c>
      <c r="C17" s="31">
        <v>119</v>
      </c>
      <c r="D17" s="31">
        <v>119</v>
      </c>
      <c r="E17" s="31">
        <v>119</v>
      </c>
      <c r="F17" s="31">
        <v>132</v>
      </c>
      <c r="G17" s="31">
        <v>157</v>
      </c>
      <c r="H17" s="31">
        <v>40</v>
      </c>
      <c r="I17" s="31">
        <f>260</f>
        <v>260</v>
      </c>
      <c r="J17" s="32"/>
      <c r="K17" s="32"/>
      <c r="L17" s="32">
        <v>1</v>
      </c>
      <c r="M17" s="32"/>
    </row>
    <row r="18" spans="1:13" x14ac:dyDescent="0.2">
      <c r="A18" s="30" t="s">
        <v>113</v>
      </c>
      <c r="B18" s="70">
        <v>99</v>
      </c>
      <c r="C18" s="31">
        <v>114</v>
      </c>
      <c r="D18" s="31">
        <v>109</v>
      </c>
      <c r="E18" s="31">
        <v>129</v>
      </c>
      <c r="F18" s="31">
        <v>190</v>
      </c>
      <c r="G18" s="31">
        <v>206</v>
      </c>
      <c r="H18" s="31">
        <v>215</v>
      </c>
      <c r="I18" s="31">
        <f>190*1.17/0.6</f>
        <v>370.5</v>
      </c>
      <c r="J18" s="32"/>
      <c r="K18" s="32">
        <v>1</v>
      </c>
      <c r="L18" s="32">
        <v>1</v>
      </c>
      <c r="M18" s="32"/>
    </row>
    <row r="19" spans="1:13" x14ac:dyDescent="0.2">
      <c r="A19" s="30" t="s">
        <v>114</v>
      </c>
      <c r="B19" s="31">
        <v>94</v>
      </c>
      <c r="C19" s="31">
        <v>99</v>
      </c>
      <c r="D19" s="31">
        <v>115</v>
      </c>
      <c r="E19" s="31">
        <v>109</v>
      </c>
      <c r="F19" s="31">
        <v>94</v>
      </c>
      <c r="G19" s="31">
        <v>151</v>
      </c>
      <c r="H19" s="31">
        <v>58</v>
      </c>
      <c r="I19" s="31">
        <f>292</f>
        <v>292</v>
      </c>
      <c r="J19" s="32"/>
      <c r="K19" s="32">
        <v>1</v>
      </c>
      <c r="L19" s="32">
        <v>1</v>
      </c>
      <c r="M19" s="32">
        <v>1</v>
      </c>
    </row>
    <row r="20" spans="1:13" x14ac:dyDescent="0.2">
      <c r="A20" s="30" t="s">
        <v>46</v>
      </c>
      <c r="B20" s="31">
        <v>99</v>
      </c>
      <c r="C20" s="31">
        <v>109</v>
      </c>
      <c r="D20" s="31">
        <v>99</v>
      </c>
      <c r="E20" s="31">
        <v>99</v>
      </c>
      <c r="F20" s="31">
        <v>132</v>
      </c>
      <c r="G20" s="31">
        <v>144</v>
      </c>
      <c r="H20" s="31">
        <v>57</v>
      </c>
      <c r="I20" s="31">
        <f>100*1.17/0.6</f>
        <v>195</v>
      </c>
      <c r="J20" s="32">
        <v>1</v>
      </c>
      <c r="K20" s="32">
        <v>1</v>
      </c>
      <c r="L20" s="32"/>
      <c r="M20" s="32">
        <v>1</v>
      </c>
    </row>
    <row r="21" spans="1:13" x14ac:dyDescent="0.2">
      <c r="A21" s="30" t="s">
        <v>47</v>
      </c>
      <c r="B21" s="31">
        <v>115</v>
      </c>
      <c r="C21" s="31">
        <v>119</v>
      </c>
      <c r="D21" s="31">
        <v>137</v>
      </c>
      <c r="E21" s="31">
        <v>119</v>
      </c>
      <c r="F21" s="31">
        <v>148</v>
      </c>
      <c r="G21" s="31">
        <v>187</v>
      </c>
      <c r="H21" s="31">
        <v>70</v>
      </c>
      <c r="I21" s="31">
        <v>240</v>
      </c>
      <c r="J21" s="32"/>
      <c r="K21" s="32"/>
      <c r="L21" s="32"/>
      <c r="M21" s="32">
        <v>1</v>
      </c>
    </row>
    <row r="22" spans="1:13" x14ac:dyDescent="0.2">
      <c r="A22" s="30" t="s">
        <v>50</v>
      </c>
      <c r="B22" s="31">
        <v>128</v>
      </c>
      <c r="C22" s="31">
        <v>129</v>
      </c>
      <c r="D22" s="31">
        <v>149</v>
      </c>
      <c r="E22" s="31">
        <v>149</v>
      </c>
      <c r="F22" s="31">
        <v>132</v>
      </c>
      <c r="G22" s="31">
        <v>220</v>
      </c>
      <c r="H22" s="31">
        <v>345</v>
      </c>
      <c r="I22" s="31">
        <v>260</v>
      </c>
      <c r="J22" s="32">
        <v>1</v>
      </c>
      <c r="K22" s="32"/>
      <c r="L22" s="32"/>
      <c r="M22" s="32">
        <v>1</v>
      </c>
    </row>
    <row r="23" spans="1:13" x14ac:dyDescent="0.2">
      <c r="A23" s="30" t="s">
        <v>115</v>
      </c>
      <c r="B23" s="31">
        <v>79</v>
      </c>
      <c r="C23" s="31">
        <v>79</v>
      </c>
      <c r="D23" s="31">
        <v>125</v>
      </c>
      <c r="E23" s="31">
        <v>0</v>
      </c>
      <c r="F23" s="31">
        <v>113</v>
      </c>
      <c r="G23" s="31">
        <v>162</v>
      </c>
      <c r="H23" s="31">
        <v>80</v>
      </c>
      <c r="I23" s="31">
        <f>150*1.17/0.6</f>
        <v>292.5</v>
      </c>
      <c r="J23" s="32">
        <v>1</v>
      </c>
      <c r="K23" s="32">
        <v>1</v>
      </c>
      <c r="L23" s="32"/>
      <c r="M23" s="32">
        <v>1</v>
      </c>
    </row>
    <row r="24" spans="1:13" x14ac:dyDescent="0.2">
      <c r="A24" s="30" t="s">
        <v>116</v>
      </c>
      <c r="B24" s="70">
        <v>129</v>
      </c>
      <c r="C24" s="31">
        <v>119</v>
      </c>
      <c r="D24" s="31">
        <v>119</v>
      </c>
      <c r="E24" s="31">
        <v>119</v>
      </c>
      <c r="F24" s="31">
        <v>113</v>
      </c>
      <c r="G24" s="31">
        <v>149</v>
      </c>
      <c r="H24" s="31">
        <v>154</v>
      </c>
      <c r="I24" s="31">
        <v>260</v>
      </c>
      <c r="J24" s="32"/>
      <c r="K24" s="32"/>
      <c r="L24" s="32"/>
      <c r="M24" s="32">
        <v>1</v>
      </c>
    </row>
    <row r="25" spans="1:13" x14ac:dyDescent="0.2">
      <c r="A25" s="30" t="s">
        <v>117</v>
      </c>
      <c r="B25" s="70">
        <v>119</v>
      </c>
      <c r="C25" s="31">
        <v>119</v>
      </c>
      <c r="D25" s="31">
        <v>0</v>
      </c>
      <c r="E25" s="31">
        <v>0</v>
      </c>
      <c r="F25" s="31">
        <v>143</v>
      </c>
      <c r="G25" s="31">
        <v>220</v>
      </c>
      <c r="H25" s="31">
        <v>0</v>
      </c>
      <c r="I25" s="31">
        <v>0</v>
      </c>
      <c r="J25" s="32">
        <v>1</v>
      </c>
      <c r="K25" s="32"/>
      <c r="L25" s="32"/>
      <c r="M25" s="32"/>
    </row>
    <row r="26" spans="1:13" x14ac:dyDescent="0.2">
      <c r="A26" s="30" t="s">
        <v>118</v>
      </c>
      <c r="B26" s="70">
        <v>0</v>
      </c>
      <c r="C26" s="31">
        <v>0</v>
      </c>
      <c r="D26" s="31">
        <v>0</v>
      </c>
      <c r="E26" s="31">
        <v>0</v>
      </c>
      <c r="F26" s="31">
        <v>0</v>
      </c>
      <c r="G26" s="31">
        <v>0</v>
      </c>
      <c r="H26" s="31">
        <v>0</v>
      </c>
      <c r="I26" s="31">
        <f>Table3[[#This Row],[Vernier LabQuest3]]*1.17</f>
        <v>0</v>
      </c>
      <c r="J26" s="32">
        <v>1</v>
      </c>
      <c r="K26" s="32">
        <v>1</v>
      </c>
      <c r="L26" s="32">
        <v>1</v>
      </c>
      <c r="M26" s="32">
        <v>1</v>
      </c>
    </row>
    <row r="27" spans="1:13" x14ac:dyDescent="0.2">
      <c r="A27" s="30" t="s">
        <v>48</v>
      </c>
      <c r="B27" s="70">
        <v>0</v>
      </c>
      <c r="C27" s="31">
        <v>0</v>
      </c>
      <c r="D27" s="31">
        <v>0</v>
      </c>
      <c r="E27" s="78">
        <v>229</v>
      </c>
      <c r="F27" s="31">
        <v>90</v>
      </c>
      <c r="G27" s="31">
        <v>0</v>
      </c>
      <c r="H27" s="31">
        <v>0</v>
      </c>
      <c r="I27" s="31">
        <f>Table3[[#This Row],[Vernier LabQuest3]]*1.17</f>
        <v>0</v>
      </c>
      <c r="J27" s="32">
        <v>1</v>
      </c>
      <c r="K27" s="32">
        <v>1</v>
      </c>
      <c r="L27" s="32"/>
      <c r="M27" s="32">
        <v>1</v>
      </c>
    </row>
    <row r="28" spans="1:13" ht="13.5" customHeight="1" x14ac:dyDescent="0.2">
      <c r="A28" s="30" t="s">
        <v>56</v>
      </c>
      <c r="B28" s="31">
        <v>124</v>
      </c>
      <c r="C28" s="31">
        <v>124</v>
      </c>
      <c r="D28" s="31">
        <v>0</v>
      </c>
      <c r="E28" s="31">
        <v>0</v>
      </c>
      <c r="F28" s="31">
        <v>120</v>
      </c>
      <c r="G28" s="31">
        <v>0</v>
      </c>
      <c r="H28" s="31">
        <v>110</v>
      </c>
      <c r="I28" s="31">
        <v>0</v>
      </c>
      <c r="J28" s="32">
        <v>1</v>
      </c>
      <c r="K28" s="34"/>
      <c r="L28" s="34"/>
      <c r="M28" s="32">
        <v>1</v>
      </c>
    </row>
    <row r="29" spans="1:13" x14ac:dyDescent="0.2">
      <c r="A29" s="30" t="s">
        <v>128</v>
      </c>
      <c r="B29" s="31">
        <v>240</v>
      </c>
      <c r="C29" s="31">
        <v>219</v>
      </c>
      <c r="D29" s="31">
        <v>239</v>
      </c>
      <c r="E29" s="31">
        <v>229</v>
      </c>
      <c r="F29" s="31">
        <v>60</v>
      </c>
      <c r="G29" s="31">
        <v>325</v>
      </c>
      <c r="H29" s="31">
        <v>0</v>
      </c>
      <c r="I29" s="31">
        <v>0</v>
      </c>
      <c r="J29" s="37"/>
      <c r="K29" s="34"/>
      <c r="L29" s="34"/>
      <c r="M29" s="34"/>
    </row>
    <row r="30" spans="1:13" x14ac:dyDescent="0.2">
      <c r="A30" s="43" t="s">
        <v>119</v>
      </c>
      <c r="B30" s="31">
        <v>0</v>
      </c>
      <c r="C30" s="31"/>
      <c r="D30" s="31">
        <v>0</v>
      </c>
      <c r="E30" s="31"/>
      <c r="F30" s="31">
        <v>0</v>
      </c>
      <c r="G30" s="31"/>
      <c r="H30" s="31">
        <v>0</v>
      </c>
      <c r="I30" s="31">
        <v>0</v>
      </c>
      <c r="J30" s="32">
        <v>1</v>
      </c>
      <c r="K30" s="32">
        <v>1</v>
      </c>
      <c r="L30" s="32">
        <v>1</v>
      </c>
      <c r="M30" s="32">
        <v>1</v>
      </c>
    </row>
    <row r="31" spans="1:13" ht="15" x14ac:dyDescent="0.2">
      <c r="A31" s="71" t="s">
        <v>4</v>
      </c>
      <c r="B31" s="72"/>
      <c r="C31" s="72"/>
      <c r="D31" s="72"/>
      <c r="E31" s="72"/>
      <c r="F31" s="64"/>
      <c r="G31" s="64"/>
      <c r="H31" s="64"/>
      <c r="I31" s="64"/>
      <c r="J31" s="61">
        <f t="shared" ref="J31:M31" si="1">SUM(J8:J30)</f>
        <v>12</v>
      </c>
      <c r="K31" s="61">
        <f t="shared" si="1"/>
        <v>13</v>
      </c>
      <c r="L31" s="65">
        <f t="shared" si="1"/>
        <v>11</v>
      </c>
      <c r="M31" s="61">
        <f t="shared" si="1"/>
        <v>14</v>
      </c>
    </row>
    <row r="32" spans="1:13" ht="15.75" x14ac:dyDescent="0.25">
      <c r="A32" s="20"/>
      <c r="B32" s="22"/>
      <c r="E32" s="62"/>
    </row>
    <row r="33" spans="4:13" ht="20.25" x14ac:dyDescent="0.3">
      <c r="E33" s="62"/>
      <c r="I33" s="62" t="s">
        <v>57</v>
      </c>
      <c r="J33" s="69">
        <v>550</v>
      </c>
      <c r="K33" s="69">
        <v>550</v>
      </c>
      <c r="L33" s="69">
        <v>550</v>
      </c>
      <c r="M33" s="69">
        <v>680</v>
      </c>
    </row>
    <row r="34" spans="4:13" ht="15.75" x14ac:dyDescent="0.25">
      <c r="D34" s="22"/>
      <c r="E34" s="62"/>
      <c r="I34" s="62" t="s">
        <v>53</v>
      </c>
      <c r="J34" s="23">
        <f>$B$5*J$5+$B$8*J$8+$B$9*J$9+$B$10*J$10+$B$11*J$11+$B$12*J$12+$B$13*J$13+$B$14*J$14+$B$15*J$15+$B$16*J$16+$B$17*J$17+$B$18*J$18+$B$19*J$19+$B$20*J$20+$B$21*J$21+$B$22*J$22+$B$23*J$23+$B$24*J$24+$B$25*J$25+$B$26*J$26+$B$27*J$27+$B$28*J$28+$B$29*J$29+$B$30*J$30</f>
        <v>1255</v>
      </c>
      <c r="K34" s="23">
        <f t="shared" ref="K34:M34" si="2">$B$5*K$5+$B$8*K$8+$B$9*K$9+$B$10*K$10+$B$11*K$11+$B$12*K$12+$B$13*K$13+$B$14*K$14+$B$15*K$15+$B$16*K$16+$B$17*K$17+$B$18*K$18+$B$19*K$19+$B$20*K$20+$B$21*K$21+$B$22*K$22+$B$23*K$23+$B$24*K$24+$B$25*K$25+$B$26*K$26+$B$27*K$27+$B$28*K$28+$B$29*K$29+$B$30*K$30</f>
        <v>1101</v>
      </c>
      <c r="L34" s="23">
        <f t="shared" si="2"/>
        <v>1033</v>
      </c>
      <c r="M34" s="23">
        <f t="shared" si="2"/>
        <v>1434</v>
      </c>
    </row>
    <row r="35" spans="4:13" ht="15.75" x14ac:dyDescent="0.25">
      <c r="E35" s="62"/>
      <c r="I35" s="62" t="s">
        <v>157</v>
      </c>
      <c r="J35" s="23">
        <f>$C$8*J$8+$C$9*J$9+$C$10*J$10+$C$11*J$11+$C$12*J$12+$C$13*J$13+$C$14*J$14+$C$15*J$15+$C$16*J$16+$C$17*J$17+$C$18*J$18+$C$19*J$19+$C$20*J$20+$C$21*J$21+$C$22*J$22+$C$23*J$23+$C$24*J$24+$C$25*J$25+$C$26*J$26+$C$27*J$27+$C$28*J$28+$C$29*J$29+$B$30*J$30</f>
        <v>861</v>
      </c>
      <c r="K35" s="23">
        <f t="shared" ref="K35:M35" si="3">$C$8*K$8+$C$9*K$9+$C$10*K$10+$C$11*K$11+$C$12*K$12+$C$13*K$13+$C$14*K$14+$C$15*K$15+$C$16*K$16+$C$17*K$17+$C$18*K$18+$C$19*K$19+$C$20*K$20+$C$21*K$21+$C$22*K$22+$C$23*K$23+$C$24*K$24+$C$25*K$25+$C$26*K$26+$C$27*K$27+$C$28*K$28+$C$29*K$29+$B$30*K$30</f>
        <v>910</v>
      </c>
      <c r="L35" s="23">
        <f t="shared" si="3"/>
        <v>835</v>
      </c>
      <c r="M35" s="23">
        <f t="shared" si="3"/>
        <v>1052</v>
      </c>
    </row>
    <row r="36" spans="4:13" ht="15.75" x14ac:dyDescent="0.25">
      <c r="E36" s="62"/>
      <c r="I36" s="62" t="s">
        <v>54</v>
      </c>
      <c r="J36" s="23">
        <f>$D$5*J$5+$D$8*J$8+$D$9*J$9+$D$10*J$10+$D$11*J$11+$D$12*J$12+$D$13*J$13+$D$14*J$14+$D$15*J$15+$B$16*J$16+$D$17*J$17+$D$18*J$18+$D$19*J$19+$D$20*J$20+$D$21*J$21+$D$22*J$22+$D$23*J$23+$D$24*J$24+$D$25*J$25+$D$26*J$26+$D$27*J$27+$D$28*J$28+$D$29*J$29+$D$30*J$30</f>
        <v>1204</v>
      </c>
      <c r="K36" s="23">
        <f t="shared" ref="K36:M36" si="4">$D$5*K$5+$D$8*K$8+$D$9*K$9+$D$10*K$10+$D$11*K$11+$D$12*K$12+$D$13*K$13+$D$14*K$14+$D$15*K$15+$B$16*K$16+$D$17*K$17+$D$18*K$18+$D$19*K$19+$D$20*K$20+$D$21*K$21+$D$22*K$22+$D$23*K$23+$D$24*K$24+$D$25*K$25+$D$26*K$26+$D$27*K$27+$D$28*K$28+$D$29*K$29+$D$30*K$30</f>
        <v>1444</v>
      </c>
      <c r="L36" s="23">
        <f t="shared" si="4"/>
        <v>1289</v>
      </c>
      <c r="M36" s="23">
        <f t="shared" si="4"/>
        <v>1549</v>
      </c>
    </row>
    <row r="37" spans="4:13" ht="15.75" x14ac:dyDescent="0.25">
      <c r="E37" s="62"/>
      <c r="I37" s="62" t="s">
        <v>159</v>
      </c>
      <c r="J37" s="23">
        <f>$E$5*J$5+$E$8*J$8+$E$9*J$9+$E$10*J$10+$E$11*J$11+$E$12*J$12+$E$13*J$13+$E$14*J$14+$E$15*J$15+$E$16*J$16+$E$17*J$17+$E$18*J$18+$E$19*J$19+$E$20*J$20+$E$21*J$21+$E$22*J$22+$E$23*J$23+$E$24*J$24+$E$25*J$25+$E$26*J$26+$E$27*J$27+$E$28*J$28+$E$29*J$29+$E$30*J$30</f>
        <v>764</v>
      </c>
      <c r="K37" s="23">
        <f>$E$5*K$5+$E$8*K$8+$E$9*K$9+$E$10*K$10+$E$11*K$11+$E$12*K$12+$E$13*K$13+$E$14*K$14+$E$15*K$15+$E$16*K$16+$E$17*K$17+$E$18*K$18+$E$19*K$19+$E$20*K$20+$E$21*K$21+$E$22*K$22+$E$23*K$23+$E$24*K$24+$E$25*K$25+$E$26*K$26+$E$27*K$27+$E$28*K$28+$E$29*K$29+$E$30*K$30</f>
        <v>1031</v>
      </c>
      <c r="L37" s="23">
        <f t="shared" ref="L37:M37" si="5">$E$5*L$5+$E$8*L$8+$E$9*L$9+$E$10*L$10+$E$11*L$11+$E$12*L$12+$E$13*L$13+$E$14*L$14+$E$15*L$15+$E$16*L$16+$E$17*L$17+$E$18*L$18+$E$19*L$19+$E$20*L$20+$E$21*L$21+$E$22*L$22+$E$23*L$23+$E$24*L$24+$E$25*L$25+$E$26*L$26+$E$27*L$27+$E$28*L$28+$E$29*L$29+$E$30*L$30</f>
        <v>812</v>
      </c>
      <c r="M37" s="23">
        <f t="shared" si="5"/>
        <v>1101</v>
      </c>
    </row>
    <row r="38" spans="4:13" ht="15.75" x14ac:dyDescent="0.25">
      <c r="E38" s="73"/>
      <c r="I38" s="62" t="s">
        <v>55</v>
      </c>
      <c r="J38" s="23">
        <f>$F$5*J$5+$F$8*J$8+$F$9*J$9+$F$10*J$10+$F$11*J$11+$F$12*J$12+$F$13*J$13+$F$14*J$14+$F$15*J$15+$F$16*J$16+$F$17*J$17+$F$18*J$18+$F$19*J$19+$F$20*J$20+$F$21*J$21+$F$22*J$22+$F$23*J$23+$F$24*J$24+$F$25*J$25+$F$26*J$26+$F$27*J$27+$F$28*J$28+$F$29*J$29+$F$30*J$30</f>
        <v>1188</v>
      </c>
      <c r="K38" s="23">
        <f t="shared" ref="K38:M38" si="6">$F$5*K$5+$F$8*K$8+$F$9*K$9+$F$10*K$10+$F$11*K$11+$F$12*K$12+$F$13*K$13+$F$14*K$14+$F$15*K$15+$F$16*K$16+$F$17*K$17+$F$18*K$18+$F$19*K$19+$F$20*K$20+$F$21*K$21+$F$22*K$22+$F$23*K$23+$F$24*K$24+$F$25*K$25+$F$26*K$26+$F$27*K$27+$F$28*K$28+$F$29*K$29+$F$30*K$30</f>
        <v>1200</v>
      </c>
      <c r="L38" s="23">
        <f t="shared" si="6"/>
        <v>993</v>
      </c>
      <c r="M38" s="23">
        <f t="shared" si="6"/>
        <v>1509</v>
      </c>
    </row>
    <row r="39" spans="4:13" ht="15.75" x14ac:dyDescent="0.25">
      <c r="E39" s="73"/>
      <c r="I39" s="62" t="s">
        <v>174</v>
      </c>
      <c r="J39" s="23">
        <f>$G$5*J$5+$G$8*J$8+$G$9*J$9+$G$10*J$10+$G$11*J$11+$G$12*J$12+$G$13*J$13+$G$14*J$14+$G$15*J$15+$G$16*J$16+$G$17*J$17+$G$18*J$18+$G$19*J$19+$G$20*J$20+$G$21*J$21+$G$22*J$22+$G$23*J$23+$G$24*J$24+$G$25*J$25+$G$26*J$26+$G$27*J$27+$G$28*J$28+$G$29*J$29+$G$30*J$30</f>
        <v>1014</v>
      </c>
      <c r="K39" s="23">
        <f t="shared" ref="K39:M39" si="7">$G$5*K$5+$G$8*K$8+$G$9*K$9+$G$10*K$10+$G$11*K$11+$G$12*K$12+$G$13*K$13+$G$14*K$14+$G$15*K$15+$G$16*K$16+$G$17*K$17+$G$18*K$18+$G$19*K$19+$G$20*K$20+$G$21*K$21+$G$22*K$22+$G$23*K$23+$G$24*K$24+$G$25*K$25+$G$26*K$26+$G$27*K$27+$G$28*K$28+$G$29*K$29+$G$30*K$30</f>
        <v>1268</v>
      </c>
      <c r="L39" s="23">
        <f t="shared" si="7"/>
        <v>1101</v>
      </c>
      <c r="M39" s="23">
        <f t="shared" si="7"/>
        <v>1437</v>
      </c>
    </row>
    <row r="40" spans="4:13" ht="15.75" x14ac:dyDescent="0.25">
      <c r="I40" s="62" t="s">
        <v>133</v>
      </c>
      <c r="J40" s="23">
        <f>$H$5*J$5+$H$8*J$8+$H$9*J$9+$H$10*J$10+$H$11*J$11+$H$12*J$12+$H$13*J$13+$H$14*J$14+$H$15*J$15+$H$16*J$16+$H$17*J$17+$H$18*J$18+$H$19*J$19+$H$20*J$20+$H$21*J$21+$H$22*J$22+$H$23*J$23+$H$24*J$24+$H$25*J$25+$H$26*J$26+$H$27*J$27+$H$28*J$28+$H$29*J$29+$H$30*J$30</f>
        <v>972</v>
      </c>
      <c r="K40" s="23">
        <f t="shared" ref="K40:M40" si="8">$H$5*K$5+$H$8*K$8+$H$9*K$9+$H$10*K$10+$H$11*K$11+$H$12*K$12+$H$13*K$13+$H$14*K$14+$H$15*K$15+$H$16*K$16+$H$17*K$17+$H$18*K$18+$H$19*K$19+$H$20*K$20+$H$21*K$21+$H$22*K$22+$H$23*K$23+$H$24*K$24+$H$25*K$25+$H$26*K$26+$H$27*K$27+$H$28*K$28+$H$29*K$29+$H$30*K$30</f>
        <v>1038</v>
      </c>
      <c r="L40" s="23">
        <f t="shared" si="8"/>
        <v>886</v>
      </c>
      <c r="M40" s="23">
        <f t="shared" si="8"/>
        <v>1229</v>
      </c>
    </row>
    <row r="41" spans="4:13" ht="15.75" x14ac:dyDescent="0.25">
      <c r="D41" s="25"/>
      <c r="E41" s="25"/>
      <c r="I41" s="62" t="s">
        <v>135</v>
      </c>
      <c r="J41" s="23">
        <f>$I$5*J$5+$I$8*J$8+$I$9*J$9+$I$10*J$10+$I$11*J$11+$I$12*J$12+$I$13*J$13+$I$14*J$14+$I$15*J$15+$I$16*J$16+$I$17*J$17+$I$18*J$18+$I$19*J$19+$I$20*J$20+$I$21*J$21+$I$22*J$22++$I$23*J$23+$I$24*J$24+$I$25*J$25+$I$26*J$26+$I$27*J$27+$I$28*J$28+$I$29*J$29+$I$30*J$30</f>
        <v>1736.3</v>
      </c>
      <c r="K41" s="23">
        <f t="shared" ref="K41:M41" si="9">$I$5*K$5+$I$8*K$8+$I$9*K$9+$I$10*K$10+$I$11*K$11+$I$12*K$12+$I$13*K$13+$I$14*K$14+$I$15*K$15+$I$16*K$16+$I$17*K$17+$I$18*K$18+$I$19*K$19+$I$20*K$20+$I$21*K$21+$I$22*K$22++$I$23*K$23+$I$24*K$24+$I$25*K$25+$I$26*K$26+$I$27*K$27+$I$28*K$28+$I$29*K$29+$I$30*K$30</f>
        <v>3015.8</v>
      </c>
      <c r="L41" s="23">
        <f t="shared" si="9"/>
        <v>2963.5</v>
      </c>
      <c r="M41" s="23">
        <f t="shared" si="9"/>
        <v>2963.5</v>
      </c>
    </row>
    <row r="42" spans="4:13" x14ac:dyDescent="0.2">
      <c r="G42" s="22"/>
      <c r="H42" s="22"/>
      <c r="I42" s="22"/>
      <c r="J42" s="22"/>
    </row>
    <row r="44" spans="4:13" x14ac:dyDescent="0.2">
      <c r="H44" s="22"/>
    </row>
  </sheetData>
  <phoneticPr fontId="7" type="noConversion"/>
  <pageMargins left="0.7" right="0.7" top="0.75" bottom="0.75" header="0.3" footer="0.3"/>
  <pageSetup paperSize="9" orientation="portrait" r:id="rId1"/>
  <drawing r:id="rId2"/>
  <legacy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Revenues</vt:lpstr>
      <vt:lpstr>LabDisc features</vt:lpstr>
      <vt:lpstr>LabDisc Pricing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Dovi</dc:creator>
  <cp:lastModifiedBy>yoav bruker</cp:lastModifiedBy>
  <cp:lastPrinted>2010-08-29T06:47:19Z</cp:lastPrinted>
  <dcterms:created xsi:type="dcterms:W3CDTF">1998-01-28T10:57:19Z</dcterms:created>
  <dcterms:modified xsi:type="dcterms:W3CDTF">2024-02-05T10:14:18Z</dcterms:modified>
</cp:coreProperties>
</file>